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2 RecoveRE Holdings\Resources-Tools-Cheat Sheets &amp; Misc\Crowd Funding &amp; Tokenization\Website Items\"/>
    </mc:Choice>
  </mc:AlternateContent>
  <xr:revisionPtr revIDLastSave="0" documentId="8_{2D78A87B-2D29-4C67-A046-D6FF9868ACEE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" sheetId="64" r:id="rId1"/>
    <sheet name="MF Quick Calc" sheetId="63" r:id="rId2"/>
  </sheets>
  <definedNames>
    <definedName name="_Order1" hidden="1">0</definedName>
    <definedName name="IntroPrintArea" localSheetId="1" hidden="1">#REF!</definedName>
    <definedName name="IntroPrintArea" hidden="1">#REF!</definedName>
    <definedName name="_xlnm.Print_Area" localSheetId="0">Instructions!$B$6:$K$39</definedName>
    <definedName name="_xlnm.Print_Area" localSheetId="1">'MF Quick Calc'!$B$8:$K$80</definedName>
    <definedName name="TPK" localSheetId="1" hidden="1">#REF!</definedName>
    <definedName name="TPK" hidden="1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9" i="63" l="1"/>
  <c r="K59" i="63"/>
  <c r="Z68" i="63" l="1"/>
  <c r="Y68" i="63"/>
  <c r="X68" i="63"/>
  <c r="W68" i="63"/>
  <c r="V68" i="63"/>
  <c r="U68" i="63"/>
  <c r="T68" i="63"/>
  <c r="S68" i="63"/>
  <c r="R68" i="63"/>
  <c r="Q68" i="63"/>
  <c r="P68" i="63"/>
  <c r="Q59" i="63"/>
  <c r="R59" i="63" s="1"/>
  <c r="S59" i="63" s="1"/>
  <c r="T59" i="63" s="1"/>
  <c r="U59" i="63" s="1"/>
  <c r="V59" i="63" s="1"/>
  <c r="W59" i="63" s="1"/>
  <c r="X59" i="63" s="1"/>
  <c r="Y59" i="63" s="1"/>
  <c r="Z59" i="63" s="1"/>
  <c r="P59" i="63"/>
  <c r="D52" i="63" l="1"/>
  <c r="P73" i="63"/>
  <c r="Q73" i="63" s="1"/>
  <c r="R73" i="63" s="1"/>
  <c r="S73" i="63" s="1"/>
  <c r="T73" i="63" s="1"/>
  <c r="U73" i="63" s="1"/>
  <c r="V73" i="63" s="1"/>
  <c r="W73" i="63" s="1"/>
  <c r="I74" i="63"/>
  <c r="C41" i="63"/>
  <c r="D54" i="63"/>
  <c r="I77" i="63" s="1"/>
  <c r="D13" i="63"/>
  <c r="I78" i="63" s="1"/>
  <c r="J78" i="63" s="1"/>
  <c r="D45" i="63"/>
  <c r="C74" i="63" s="1"/>
  <c r="D74" i="63" s="1"/>
  <c r="K10" i="63"/>
  <c r="P10" i="63"/>
  <c r="Q10" i="63"/>
  <c r="R10" i="63" s="1"/>
  <c r="H41" i="63"/>
  <c r="P45" i="63" s="1"/>
  <c r="P43" i="63"/>
  <c r="Q43" i="63" s="1"/>
  <c r="Q15" i="63" s="1"/>
  <c r="J41" i="63"/>
  <c r="F41" i="63"/>
  <c r="P48" i="63"/>
  <c r="Q48" i="63" s="1"/>
  <c r="R48" i="63" s="1"/>
  <c r="S48" i="63" s="1"/>
  <c r="T48" i="63" s="1"/>
  <c r="U48" i="63" s="1"/>
  <c r="V48" i="63" s="1"/>
  <c r="W48" i="63" s="1"/>
  <c r="X48" i="63" s="1"/>
  <c r="Y48" i="63" s="1"/>
  <c r="Z48" i="63" s="1"/>
  <c r="K44" i="63"/>
  <c r="P53" i="63"/>
  <c r="Q53" i="63" s="1"/>
  <c r="R53" i="63" s="1"/>
  <c r="S53" i="63" s="1"/>
  <c r="T53" i="63" s="1"/>
  <c r="U53" i="63" s="1"/>
  <c r="V53" i="63" s="1"/>
  <c r="W53" i="63" s="1"/>
  <c r="X53" i="63" s="1"/>
  <c r="Y53" i="63" s="1"/>
  <c r="Z53" i="63" s="1"/>
  <c r="P54" i="63"/>
  <c r="Q54" i="63" s="1"/>
  <c r="R54" i="63" s="1"/>
  <c r="S54" i="63" s="1"/>
  <c r="T54" i="63" s="1"/>
  <c r="U54" i="63" s="1"/>
  <c r="V54" i="63" s="1"/>
  <c r="W54" i="63" s="1"/>
  <c r="X54" i="63" s="1"/>
  <c r="Y54" i="63" s="1"/>
  <c r="Z54" i="63" s="1"/>
  <c r="P55" i="63"/>
  <c r="Q55" i="63" s="1"/>
  <c r="R55" i="63" s="1"/>
  <c r="S55" i="63" s="1"/>
  <c r="T55" i="63" s="1"/>
  <c r="U55" i="63" s="1"/>
  <c r="V55" i="63" s="1"/>
  <c r="W55" i="63" s="1"/>
  <c r="X55" i="63" s="1"/>
  <c r="Y55" i="63" s="1"/>
  <c r="Z55" i="63" s="1"/>
  <c r="P56" i="63"/>
  <c r="Q56" i="63" s="1"/>
  <c r="R56" i="63" s="1"/>
  <c r="S56" i="63" s="1"/>
  <c r="T56" i="63" s="1"/>
  <c r="U56" i="63" s="1"/>
  <c r="V56" i="63" s="1"/>
  <c r="W56" i="63" s="1"/>
  <c r="X56" i="63" s="1"/>
  <c r="Y56" i="63" s="1"/>
  <c r="Z56" i="63" s="1"/>
  <c r="P57" i="63"/>
  <c r="Q57" i="63" s="1"/>
  <c r="R57" i="63" s="1"/>
  <c r="S57" i="63" s="1"/>
  <c r="T57" i="63" s="1"/>
  <c r="U57" i="63" s="1"/>
  <c r="V57" i="63" s="1"/>
  <c r="W57" i="63" s="1"/>
  <c r="X57" i="63" s="1"/>
  <c r="Y57" i="63" s="1"/>
  <c r="Z57" i="63" s="1"/>
  <c r="P58" i="63"/>
  <c r="Q58" i="63" s="1"/>
  <c r="R58" i="63" s="1"/>
  <c r="S58" i="63" s="1"/>
  <c r="T58" i="63" s="1"/>
  <c r="U58" i="63" s="1"/>
  <c r="V58" i="63" s="1"/>
  <c r="W58" i="63" s="1"/>
  <c r="X58" i="63" s="1"/>
  <c r="Y58" i="63" s="1"/>
  <c r="Z58" i="63" s="1"/>
  <c r="P60" i="63"/>
  <c r="Q60" i="63" s="1"/>
  <c r="R60" i="63" s="1"/>
  <c r="S60" i="63" s="1"/>
  <c r="T60" i="63" s="1"/>
  <c r="U60" i="63" s="1"/>
  <c r="V60" i="63" s="1"/>
  <c r="W60" i="63" s="1"/>
  <c r="X60" i="63" s="1"/>
  <c r="Y60" i="63" s="1"/>
  <c r="Z60" i="63" s="1"/>
  <c r="P61" i="63"/>
  <c r="Q61" i="63" s="1"/>
  <c r="R61" i="63" s="1"/>
  <c r="S61" i="63" s="1"/>
  <c r="T61" i="63" s="1"/>
  <c r="U61" i="63" s="1"/>
  <c r="V61" i="63" s="1"/>
  <c r="W61" i="63" s="1"/>
  <c r="X61" i="63" s="1"/>
  <c r="Y61" i="63" s="1"/>
  <c r="Z61" i="63" s="1"/>
  <c r="I41" i="63"/>
  <c r="C61" i="63" s="1"/>
  <c r="C63" i="63" s="1"/>
  <c r="D63" i="63" s="1"/>
  <c r="D41" i="63"/>
  <c r="K40" i="63"/>
  <c r="K39" i="63"/>
  <c r="K38" i="63"/>
  <c r="K37" i="63"/>
  <c r="K36" i="63"/>
  <c r="K35" i="63"/>
  <c r="K34" i="63"/>
  <c r="K33" i="63"/>
  <c r="K32" i="63"/>
  <c r="K31" i="63"/>
  <c r="K27" i="63"/>
  <c r="K28" i="63"/>
  <c r="K29" i="63"/>
  <c r="K26" i="63"/>
  <c r="K30" i="63"/>
  <c r="I60" i="63"/>
  <c r="J60" i="63" s="1"/>
  <c r="V91" i="63"/>
  <c r="J74" i="63" l="1"/>
  <c r="J59" i="63"/>
  <c r="I48" i="63"/>
  <c r="J48" i="63" s="1"/>
  <c r="I61" i="63"/>
  <c r="J61" i="63" s="1"/>
  <c r="I53" i="63"/>
  <c r="J53" i="63" s="1"/>
  <c r="K41" i="63"/>
  <c r="I68" i="63"/>
  <c r="J68" i="63" s="1"/>
  <c r="I56" i="63"/>
  <c r="J56" i="63" s="1"/>
  <c r="I57" i="63"/>
  <c r="J57" i="63" s="1"/>
  <c r="I58" i="63"/>
  <c r="J58" i="63" s="1"/>
  <c r="I54" i="63"/>
  <c r="J54" i="63" s="1"/>
  <c r="I55" i="63"/>
  <c r="J55" i="63" s="1"/>
  <c r="J65" i="63"/>
  <c r="P15" i="63"/>
  <c r="S10" i="63"/>
  <c r="T10" i="63" s="1"/>
  <c r="U10" i="63" s="1"/>
  <c r="V10" i="63" s="1"/>
  <c r="W10" i="63" s="1"/>
  <c r="X10" i="63" s="1"/>
  <c r="Y10" i="63" s="1"/>
  <c r="Q45" i="63"/>
  <c r="P46" i="63"/>
  <c r="I46" i="63" s="1"/>
  <c r="J46" i="63" s="1"/>
  <c r="I45" i="63"/>
  <c r="J45" i="63" s="1"/>
  <c r="P47" i="63"/>
  <c r="I47" i="63" s="1"/>
  <c r="J47" i="63" s="1"/>
  <c r="X73" i="63"/>
  <c r="W91" i="63"/>
  <c r="C64" i="63"/>
  <c r="D14" i="63"/>
  <c r="I76" i="63" s="1"/>
  <c r="J76" i="63" s="1"/>
  <c r="D62" i="63"/>
  <c r="R43" i="63"/>
  <c r="J77" i="63"/>
  <c r="P49" i="63" l="1"/>
  <c r="P66" i="63" s="1"/>
  <c r="P95" i="63" s="1"/>
  <c r="R45" i="63"/>
  <c r="R46" i="63" s="1"/>
  <c r="Q46" i="63"/>
  <c r="Q47" i="63"/>
  <c r="S43" i="63"/>
  <c r="R15" i="63"/>
  <c r="X91" i="63"/>
  <c r="Y73" i="63"/>
  <c r="Y91" i="63" s="1"/>
  <c r="D56" i="63"/>
  <c r="C65" i="63" s="1"/>
  <c r="D65" i="63" s="1"/>
  <c r="D64" i="63"/>
  <c r="Q49" i="63" l="1"/>
  <c r="Q66" i="63" s="1"/>
  <c r="Q95" i="63" s="1"/>
  <c r="P67" i="63"/>
  <c r="I67" i="63" s="1"/>
  <c r="J67" i="63" s="1"/>
  <c r="P52" i="63"/>
  <c r="I49" i="63"/>
  <c r="J49" i="63" s="1"/>
  <c r="S15" i="63"/>
  <c r="T43" i="63"/>
  <c r="K55" i="63" s="1"/>
  <c r="C66" i="63"/>
  <c r="S45" i="63"/>
  <c r="S46" i="63" s="1"/>
  <c r="R47" i="63"/>
  <c r="R49" i="63" s="1"/>
  <c r="R66" i="63" s="1"/>
  <c r="Q52" i="63" l="1"/>
  <c r="Q62" i="63" s="1"/>
  <c r="Q64" i="63" s="1"/>
  <c r="R95" i="63"/>
  <c r="Q67" i="63"/>
  <c r="K54" i="63"/>
  <c r="D66" i="63"/>
  <c r="I75" i="63"/>
  <c r="T15" i="63"/>
  <c r="K15" i="63" s="1"/>
  <c r="J15" i="63" s="1"/>
  <c r="U43" i="63"/>
  <c r="K68" i="63"/>
  <c r="K57" i="63"/>
  <c r="K53" i="63"/>
  <c r="K58" i="63"/>
  <c r="K61" i="63"/>
  <c r="K60" i="63"/>
  <c r="K56" i="63"/>
  <c r="K48" i="63"/>
  <c r="R67" i="63"/>
  <c r="R52" i="63"/>
  <c r="R62" i="63" s="1"/>
  <c r="I52" i="63"/>
  <c r="J52" i="63" s="1"/>
  <c r="P62" i="63"/>
  <c r="S47" i="63"/>
  <c r="S49" i="63"/>
  <c r="S66" i="63" s="1"/>
  <c r="T45" i="63"/>
  <c r="K45" i="63" s="1"/>
  <c r="S95" i="63" l="1"/>
  <c r="Q63" i="63"/>
  <c r="P11" i="63"/>
  <c r="P13" i="63" s="1"/>
  <c r="Q72" i="63"/>
  <c r="J75" i="63"/>
  <c r="J79" i="63" s="1"/>
  <c r="I79" i="63"/>
  <c r="K75" i="63" s="1"/>
  <c r="T47" i="63"/>
  <c r="K47" i="63" s="1"/>
  <c r="U45" i="63"/>
  <c r="S52" i="63"/>
  <c r="S62" i="63" s="1"/>
  <c r="S67" i="63"/>
  <c r="P64" i="63"/>
  <c r="P72" i="63" s="1"/>
  <c r="P63" i="63"/>
  <c r="I63" i="63" s="1"/>
  <c r="I62" i="63"/>
  <c r="J62" i="63" s="1"/>
  <c r="T46" i="63"/>
  <c r="R64" i="63"/>
  <c r="R72" i="63" s="1"/>
  <c r="R63" i="63"/>
  <c r="V43" i="63"/>
  <c r="U15" i="63"/>
  <c r="P14" i="63" l="1"/>
  <c r="K77" i="63"/>
  <c r="K76" i="63"/>
  <c r="K78" i="63"/>
  <c r="K74" i="63"/>
  <c r="K79" i="63" s="1"/>
  <c r="C75" i="63"/>
  <c r="T49" i="63"/>
  <c r="T67" i="63" s="1"/>
  <c r="P16" i="63"/>
  <c r="S64" i="63"/>
  <c r="S72" i="63" s="1"/>
  <c r="D50" i="63" s="1"/>
  <c r="S63" i="63"/>
  <c r="Q11" i="63"/>
  <c r="V45" i="63"/>
  <c r="V46" i="63" s="1"/>
  <c r="U47" i="63"/>
  <c r="U46" i="63"/>
  <c r="U49" i="63" s="1"/>
  <c r="U66" i="63" s="1"/>
  <c r="I64" i="63"/>
  <c r="W43" i="63"/>
  <c r="V15" i="63"/>
  <c r="V71" i="63"/>
  <c r="K46" i="63" l="1"/>
  <c r="K49" i="63"/>
  <c r="T52" i="63"/>
  <c r="T62" i="63" s="1"/>
  <c r="T66" i="63"/>
  <c r="T95" i="63" s="1"/>
  <c r="U95" i="63" s="1"/>
  <c r="P83" i="63"/>
  <c r="O76" i="63"/>
  <c r="R83" i="63"/>
  <c r="D75" i="63"/>
  <c r="D79" i="63" s="1"/>
  <c r="Y82" i="63"/>
  <c r="F75" i="63"/>
  <c r="F79" i="63" s="1"/>
  <c r="V82" i="63"/>
  <c r="S70" i="63"/>
  <c r="U82" i="63"/>
  <c r="W82" i="63"/>
  <c r="Q70" i="63"/>
  <c r="U83" i="63"/>
  <c r="C79" i="63"/>
  <c r="F74" i="63" s="1"/>
  <c r="O90" i="63"/>
  <c r="R82" i="63"/>
  <c r="T82" i="63"/>
  <c r="Y83" i="63"/>
  <c r="T83" i="63"/>
  <c r="S82" i="63"/>
  <c r="V83" i="63"/>
  <c r="X82" i="63"/>
  <c r="W83" i="63"/>
  <c r="S83" i="63"/>
  <c r="R70" i="63"/>
  <c r="R74" i="63" s="1"/>
  <c r="K66" i="63"/>
  <c r="Q82" i="63"/>
  <c r="P82" i="63"/>
  <c r="X83" i="63"/>
  <c r="Q83" i="63"/>
  <c r="U67" i="63"/>
  <c r="K67" i="63" s="1"/>
  <c r="U52" i="63"/>
  <c r="U62" i="63" s="1"/>
  <c r="W15" i="63"/>
  <c r="X43" i="63"/>
  <c r="W71" i="63"/>
  <c r="Q13" i="63"/>
  <c r="Q14" i="63"/>
  <c r="R11" i="63"/>
  <c r="J64" i="63"/>
  <c r="D12" i="63"/>
  <c r="D49" i="63"/>
  <c r="W45" i="63"/>
  <c r="V47" i="63"/>
  <c r="V49" i="63" s="1"/>
  <c r="V66" i="63" s="1"/>
  <c r="K52" i="63" l="1"/>
  <c r="V95" i="63"/>
  <c r="D55" i="63"/>
  <c r="Q16" i="63"/>
  <c r="R71" i="63"/>
  <c r="Q74" i="63"/>
  <c r="Q79" i="63" s="1"/>
  <c r="Q71" i="63"/>
  <c r="I66" i="63"/>
  <c r="J66" i="63" s="1"/>
  <c r="P70" i="63"/>
  <c r="R13" i="63"/>
  <c r="R14" i="63"/>
  <c r="W47" i="63"/>
  <c r="X45" i="63"/>
  <c r="X46" i="63" s="1"/>
  <c r="V67" i="63"/>
  <c r="V52" i="63"/>
  <c r="V62" i="63" s="1"/>
  <c r="V63" i="63" s="1"/>
  <c r="R79" i="63"/>
  <c r="R85" i="63" s="1"/>
  <c r="R88" i="63" s="1"/>
  <c r="R91" i="63" s="1"/>
  <c r="S74" i="63"/>
  <c r="S71" i="63"/>
  <c r="Y43" i="63"/>
  <c r="X71" i="63"/>
  <c r="X15" i="63"/>
  <c r="U64" i="63"/>
  <c r="U72" i="63" s="1"/>
  <c r="U63" i="63"/>
  <c r="T64" i="63"/>
  <c r="T72" i="63" s="1"/>
  <c r="T63" i="63"/>
  <c r="K62" i="63"/>
  <c r="W46" i="63"/>
  <c r="K63" i="63" l="1"/>
  <c r="W49" i="63"/>
  <c r="W66" i="63" s="1"/>
  <c r="W95" i="63" s="1"/>
  <c r="P74" i="63"/>
  <c r="P79" i="63" s="1"/>
  <c r="P85" i="63" s="1"/>
  <c r="P88" i="63" s="1"/>
  <c r="P91" i="63" s="1"/>
  <c r="I69" i="63"/>
  <c r="J69" i="63" s="1"/>
  <c r="P71" i="63"/>
  <c r="Q85" i="63"/>
  <c r="Q88" i="63" s="1"/>
  <c r="Q91" i="63" s="1"/>
  <c r="R16" i="63"/>
  <c r="Z43" i="63"/>
  <c r="Y71" i="63"/>
  <c r="Y15" i="63"/>
  <c r="V64" i="63"/>
  <c r="V72" i="63" s="1"/>
  <c r="S11" i="63"/>
  <c r="K64" i="63"/>
  <c r="T70" i="63"/>
  <c r="Y45" i="63"/>
  <c r="Y46" i="63" s="1"/>
  <c r="X47" i="63"/>
  <c r="X49" i="63" s="1"/>
  <c r="X66" i="63" s="1"/>
  <c r="S79" i="63"/>
  <c r="S85" i="63" s="1"/>
  <c r="S88" i="63" s="1"/>
  <c r="S91" i="63" s="1"/>
  <c r="T11" i="63"/>
  <c r="U70" i="63"/>
  <c r="X95" i="63" l="1"/>
  <c r="W52" i="63"/>
  <c r="W62" i="63" s="1"/>
  <c r="W63" i="63" s="1"/>
  <c r="U74" i="63"/>
  <c r="U79" i="63" s="1"/>
  <c r="U85" i="63" s="1"/>
  <c r="U88" i="63" s="1"/>
  <c r="U91" i="63" s="1"/>
  <c r="U71" i="63"/>
  <c r="W67" i="63"/>
  <c r="K69" i="63"/>
  <c r="T71" i="63"/>
  <c r="T74" i="63"/>
  <c r="Z71" i="63"/>
  <c r="U11" i="63"/>
  <c r="K11" i="63" s="1"/>
  <c r="V70" i="63"/>
  <c r="V74" i="63" s="1"/>
  <c r="X52" i="63"/>
  <c r="X62" i="63" s="1"/>
  <c r="X63" i="63" s="1"/>
  <c r="X67" i="63"/>
  <c r="S13" i="63"/>
  <c r="S14" i="63"/>
  <c r="T14" i="63"/>
  <c r="T13" i="63"/>
  <c r="Z45" i="63"/>
  <c r="Z46" i="63" s="1"/>
  <c r="Y47" i="63"/>
  <c r="Y49" i="63"/>
  <c r="Y66" i="63" s="1"/>
  <c r="W64" i="63" l="1"/>
  <c r="W72" i="63" s="1"/>
  <c r="Y95" i="63"/>
  <c r="T79" i="63"/>
  <c r="T85" i="63" s="1"/>
  <c r="T88" i="63" s="1"/>
  <c r="Y67" i="63"/>
  <c r="Y52" i="63"/>
  <c r="Y62" i="63" s="1"/>
  <c r="H5" i="63"/>
  <c r="U14" i="63"/>
  <c r="K14" i="63" s="1"/>
  <c r="J14" i="63" s="1"/>
  <c r="U13" i="63"/>
  <c r="K13" i="63" s="1"/>
  <c r="J13" i="63" s="1"/>
  <c r="T16" i="63"/>
  <c r="J11" i="63"/>
  <c r="D57" i="63"/>
  <c r="X64" i="63"/>
  <c r="X72" i="63" s="1"/>
  <c r="V79" i="63"/>
  <c r="V85" i="63" s="1"/>
  <c r="V88" i="63" s="1"/>
  <c r="Z47" i="63"/>
  <c r="Z49" i="63" s="1"/>
  <c r="Z66" i="63" s="1"/>
  <c r="S16" i="63"/>
  <c r="W70" i="63" l="1"/>
  <c r="W74" i="63" s="1"/>
  <c r="W79" i="63" s="1"/>
  <c r="W85" i="63" s="1"/>
  <c r="W88" i="63" s="1"/>
  <c r="V11" i="63"/>
  <c r="U16" i="63"/>
  <c r="K16" i="63" s="1"/>
  <c r="J16" i="63" s="1"/>
  <c r="Z52" i="63"/>
  <c r="Z62" i="63" s="1"/>
  <c r="Z67" i="63"/>
  <c r="T91" i="63"/>
  <c r="H6" i="63" s="1"/>
  <c r="V13" i="63"/>
  <c r="V14" i="63"/>
  <c r="W11" i="63"/>
  <c r="X70" i="63"/>
  <c r="X74" i="63" s="1"/>
  <c r="Y64" i="63"/>
  <c r="Y72" i="63" s="1"/>
  <c r="Y63" i="63"/>
  <c r="S75" i="63" l="1"/>
  <c r="S80" i="63" s="1"/>
  <c r="S86" i="63" s="1"/>
  <c r="R75" i="63"/>
  <c r="R76" i="63" s="1"/>
  <c r="T75" i="63"/>
  <c r="T80" i="63" s="1"/>
  <c r="T86" i="63" s="1"/>
  <c r="X75" i="63"/>
  <c r="X80" i="63" s="1"/>
  <c r="X86" i="63" s="1"/>
  <c r="U75" i="63"/>
  <c r="U76" i="63" s="1"/>
  <c r="V75" i="63"/>
  <c r="V80" i="63" s="1"/>
  <c r="W75" i="63"/>
  <c r="W76" i="63" s="1"/>
  <c r="Y75" i="63"/>
  <c r="Y80" i="63" s="1"/>
  <c r="Q75" i="63"/>
  <c r="Q80" i="63" s="1"/>
  <c r="P75" i="63"/>
  <c r="P80" i="63" s="1"/>
  <c r="P86" i="63" s="1"/>
  <c r="V16" i="63"/>
  <c r="W13" i="63"/>
  <c r="W14" i="63"/>
  <c r="X79" i="63"/>
  <c r="X85" i="63" s="1"/>
  <c r="X88" i="63" s="1"/>
  <c r="X11" i="63"/>
  <c r="Y70" i="63"/>
  <c r="Y74" i="63" s="1"/>
  <c r="Z64" i="63"/>
  <c r="Z72" i="63" s="1"/>
  <c r="Z63" i="63"/>
  <c r="U80" i="63" l="1"/>
  <c r="U86" i="63" s="1"/>
  <c r="R80" i="63"/>
  <c r="R86" i="63" s="1"/>
  <c r="S76" i="63"/>
  <c r="T76" i="63"/>
  <c r="X76" i="63"/>
  <c r="V76" i="63"/>
  <c r="Y86" i="63"/>
  <c r="W80" i="63"/>
  <c r="W86" i="63" s="1"/>
  <c r="Q76" i="63"/>
  <c r="P76" i="63"/>
  <c r="X14" i="63"/>
  <c r="X13" i="63"/>
  <c r="Y11" i="63"/>
  <c r="Z70" i="63"/>
  <c r="V86" i="63"/>
  <c r="W16" i="63"/>
  <c r="Y76" i="63"/>
  <c r="Y79" i="63"/>
  <c r="Q86" i="63"/>
  <c r="W89" i="63" l="1"/>
  <c r="W90" i="63" s="1"/>
  <c r="K5" i="63"/>
  <c r="X16" i="63"/>
  <c r="Q89" i="63"/>
  <c r="Q90" i="63" s="1"/>
  <c r="U89" i="63"/>
  <c r="U90" i="63" s="1"/>
  <c r="V89" i="63"/>
  <c r="V90" i="63" s="1"/>
  <c r="T89" i="63"/>
  <c r="T90" i="63" s="1"/>
  <c r="J5" i="63"/>
  <c r="O77" i="63"/>
  <c r="I5" i="63" s="1"/>
  <c r="Y89" i="63"/>
  <c r="Y85" i="63"/>
  <c r="Y88" i="63" s="1"/>
  <c r="I19" i="63" s="1"/>
  <c r="R89" i="63"/>
  <c r="R90" i="63" s="1"/>
  <c r="P89" i="63"/>
  <c r="S89" i="63"/>
  <c r="S90" i="63" s="1"/>
  <c r="Y13" i="63"/>
  <c r="Y14" i="63"/>
  <c r="X89" i="63"/>
  <c r="X90" i="63" s="1"/>
  <c r="Y16" i="63" l="1"/>
  <c r="I20" i="63"/>
  <c r="Y90" i="63"/>
  <c r="J19" i="63"/>
  <c r="J20" i="63" s="1"/>
  <c r="P90" i="63"/>
  <c r="K20" i="63" l="1"/>
  <c r="J6" i="63"/>
  <c r="O92" i="63"/>
  <c r="I6" i="63" s="1"/>
  <c r="K6" i="63"/>
  <c r="K19" i="63"/>
  <c r="K21" i="63" l="1"/>
  <c r="H20" i="63"/>
  <c r="H19" i="6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tyler</author>
    <author>Anna Myers</author>
    <author>Microsoft Office User</author>
  </authors>
  <commentList>
    <comment ref="I24" authorId="0" shapeId="0" xr:uid="{018BDEAC-96C3-49F7-B91D-33DA9B39160E}">
      <text>
        <r>
          <rPr>
            <b/>
            <sz val="9"/>
            <color rgb="FF000000"/>
            <rFont val="Tahoma"/>
            <family val="2"/>
          </rPr>
          <t xml:space="preserve">Author:
</t>
        </r>
        <r>
          <rPr>
            <sz val="9"/>
            <color rgb="FF000000"/>
            <rFont val="Tahoma"/>
            <family val="2"/>
          </rPr>
          <t>Number of units to be renovated as part of the value-add strategy</t>
        </r>
      </text>
    </comment>
    <comment ref="H46" authorId="0" shapeId="0" xr:uid="{887FDDBB-A12A-6049-BCAE-861F30A533E3}">
      <text>
        <r>
          <rPr>
            <b/>
            <sz val="9"/>
            <color rgb="FF000000"/>
            <rFont val="Tahoma"/>
            <family val="2"/>
          </rPr>
          <t xml:space="preserve">Author:
</t>
        </r>
        <r>
          <rPr>
            <sz val="9"/>
            <color rgb="FF000000"/>
            <rFont val="Tahoma"/>
            <family val="2"/>
          </rPr>
          <t xml:space="preserve">Loss to lease calculated by estimating the years to bleed off the difference in market rent and current rent
</t>
        </r>
      </text>
    </comment>
    <comment ref="D61" authorId="1" shapeId="0" xr:uid="{EB72E993-075B-3E47-ACE1-EB7CCAE2B35E}">
      <text>
        <r>
          <rPr>
            <sz val="11"/>
            <color rgb="FF000000"/>
            <rFont val="+mn-lt"/>
            <charset val="1"/>
          </rPr>
          <t xml:space="preserve">Average per unit cost to renovate interiors
</t>
        </r>
      </text>
    </comment>
    <comment ref="H63" authorId="0" shapeId="0" xr:uid="{B481FFAA-DEB1-ED4A-96E2-8D38F539EF89}">
      <text>
        <r>
          <rPr>
            <b/>
            <sz val="9"/>
            <color rgb="FF000000"/>
            <rFont val="Tahoma"/>
            <family val="2"/>
          </rPr>
          <t xml:space="preserve">Author:
</t>
        </r>
        <r>
          <rPr>
            <sz val="9"/>
            <color rgb="FF000000"/>
            <rFont val="Tahoma"/>
            <family val="2"/>
          </rPr>
          <t>Use this cell to fix the operating expense ratio and ignore other expense inputs</t>
        </r>
      </text>
    </comment>
    <comment ref="B69" authorId="2" shapeId="0" xr:uid="{774F9F63-9690-484F-A5C9-6588242C6398}">
      <text>
        <r>
          <rPr>
            <sz val="10"/>
            <color rgb="FF000000"/>
            <rFont val="Tahoma"/>
            <family val="2"/>
          </rPr>
          <t xml:space="preserve">Median Household Income for city ir zip code -  target of $40k (note this info can be found on citydata.com.) </t>
        </r>
        <r>
          <rPr>
            <sz val="10"/>
            <color rgb="FF000000"/>
            <rFont val="Calibri"/>
            <family val="2"/>
          </rPr>
          <t xml:space="preserve">Look for a 20% increase in median household income since 2000. Bonus point if its 30% or greater </t>
        </r>
      </text>
    </comment>
    <comment ref="C69" authorId="2" shapeId="0" xr:uid="{860C94DB-5509-4C4B-BF01-C928390491D6}">
      <text>
        <r>
          <rPr>
            <sz val="10"/>
            <color rgb="FF000000"/>
            <rFont val="Calibri"/>
            <family val="2"/>
          </rPr>
          <t xml:space="preserve">Look for cities with Population change since 2000 of over 6% if the city is over a million people. Look for population growth of over 10% if the city is under a million. Look for 20%-30% growth if city is under half a million. Bonus point if its 40% or greater.. Year 2000 population is no longer available in city-data. To get the 2000 population value for your city  - google the city name and "population". 
</t>
        </r>
      </text>
    </comment>
    <comment ref="D69" authorId="2" shapeId="0" xr:uid="{0CDC84AC-7BF6-BB4E-97C9-51DA3BC7D728}">
      <text>
        <r>
          <rPr>
            <sz val="9"/>
            <color rgb="FF000000"/>
            <rFont val="Calibri"/>
            <family val="2"/>
          </rPr>
          <t xml:space="preserve">Go to : https://www.deptofnumbers.com/employment/metros/    Job growth is key to both appreciation and rent growth. Under 1% is considered anemic, you should avoid those cities. Job growth is dependent on city size. Los Angeles at 0.85% is better than Bakersfield at 0.86%, because L.A. created 14 times the jobs that Bakersfield did. For larger cities, its ok to be a little bit under 1%, but of course higher numbers are better. Keep the number of jobs in mind. If Killeen, TX creates 500 jobs, half of those could come from a single employer. Keep in mind that this table only looks at 1 year of job growth. It’s an important data point, but good cities can have a rough year
</t>
        </r>
      </text>
    </comment>
  </commentList>
</comments>
</file>

<file path=xl/sharedStrings.xml><?xml version="1.0" encoding="utf-8"?>
<sst xmlns="http://schemas.openxmlformats.org/spreadsheetml/2006/main" count="169" uniqueCount="147">
  <si>
    <t>Purchase Price</t>
  </si>
  <si>
    <t>Other Income</t>
  </si>
  <si>
    <t>Vacancy</t>
  </si>
  <si>
    <t>Total</t>
  </si>
  <si>
    <t>Property</t>
  </si>
  <si>
    <t>Reserves</t>
  </si>
  <si>
    <t>%</t>
  </si>
  <si>
    <t>$/Unit</t>
  </si>
  <si>
    <t>$</t>
  </si>
  <si>
    <t>Equity</t>
  </si>
  <si>
    <t>Net Proceeds</t>
  </si>
  <si>
    <t>SOURCES &amp; USES</t>
  </si>
  <si>
    <t>Sources</t>
  </si>
  <si>
    <t>Uses</t>
  </si>
  <si>
    <t>Acquisition Fee</t>
  </si>
  <si>
    <t>Closing Costs</t>
  </si>
  <si>
    <t>Disposition Fee</t>
  </si>
  <si>
    <t>ESTIMATED CASH FLOWS</t>
  </si>
  <si>
    <t>OVERVIEW &amp; ASSUMPTIONS</t>
  </si>
  <si>
    <t>Debt</t>
  </si>
  <si>
    <t>Debt Service</t>
  </si>
  <si>
    <t>Disposition Costs</t>
  </si>
  <si>
    <t>RENT ROLL</t>
  </si>
  <si>
    <t>Property Taxes</t>
  </si>
  <si>
    <t>Current ($)</t>
  </si>
  <si>
    <t>Market ($)</t>
  </si>
  <si>
    <t>Unit Type</t>
  </si>
  <si>
    <t>Count</t>
  </si>
  <si>
    <t>SF</t>
  </si>
  <si>
    <t>Net Op Inc</t>
  </si>
  <si>
    <t>Revenue Growth Rate</t>
  </si>
  <si>
    <t>Op Ex Ratio</t>
  </si>
  <si>
    <t>Cash Flow</t>
  </si>
  <si>
    <t>Interior</t>
  </si>
  <si>
    <t>Exterior</t>
  </si>
  <si>
    <t>Item</t>
  </si>
  <si>
    <t>Total Costs</t>
  </si>
  <si>
    <t>Expense Growth Rate</t>
  </si>
  <si>
    <t>Debt Defeasance</t>
  </si>
  <si>
    <t>Investor</t>
  </si>
  <si>
    <t xml:space="preserve">Total </t>
  </si>
  <si>
    <t>Loss to Lease</t>
  </si>
  <si>
    <t>Asst Mgt.</t>
  </si>
  <si>
    <t>Project</t>
  </si>
  <si>
    <t>IRR</t>
  </si>
  <si>
    <t>Amortization</t>
  </si>
  <si>
    <t>Loan to Value</t>
  </si>
  <si>
    <t>Loan Amount</t>
  </si>
  <si>
    <t>Hold Period</t>
  </si>
  <si>
    <t>Asset Mgt Fee</t>
  </si>
  <si>
    <t>EGR</t>
  </si>
  <si>
    <t>Management</t>
  </si>
  <si>
    <t>Maintenance</t>
  </si>
  <si>
    <t>Utilities</t>
  </si>
  <si>
    <t>Insurance</t>
  </si>
  <si>
    <t>Revenues</t>
  </si>
  <si>
    <t>Expenses</t>
  </si>
  <si>
    <t>Payroll</t>
  </si>
  <si>
    <t>Admin</t>
  </si>
  <si>
    <t>Construction</t>
  </si>
  <si>
    <t>Acq Fee</t>
  </si>
  <si>
    <t>EMx</t>
  </si>
  <si>
    <t>Calculations</t>
  </si>
  <si>
    <t>Purchase &amp; Sale Assumptions</t>
  </si>
  <si>
    <t>Operating Assumptions</t>
  </si>
  <si>
    <t>Sale Costs</t>
  </si>
  <si>
    <t>Contingent (10%)</t>
  </si>
  <si>
    <t>Input (Annual)</t>
  </si>
  <si>
    <t>Total Op Exp</t>
  </si>
  <si>
    <t>Premium</t>
  </si>
  <si>
    <t>Cap Rate (Year 1)</t>
  </si>
  <si>
    <t>USER INSTRUCTIONS</t>
  </si>
  <si>
    <t>Color Key</t>
  </si>
  <si>
    <t>Designates cells that accept inputs</t>
  </si>
  <si>
    <t>Designates a section primarily used for displaying outputs</t>
  </si>
  <si>
    <t>Designates a section primarily used for capturing inputs</t>
  </si>
  <si>
    <t>Purpose</t>
  </si>
  <si>
    <t>DEBT STRUCTURE (Optional)</t>
  </si>
  <si>
    <t>Quickly evaluate the risk and return potential of a multifamily investment.</t>
  </si>
  <si>
    <t>Step 1</t>
  </si>
  <si>
    <t>Complete the "Overview and Assumptions" section</t>
  </si>
  <si>
    <t>Note: The deal structure section is optional and includes a basic, 1 tier equity waterfall</t>
  </si>
  <si>
    <t>Step 2</t>
  </si>
  <si>
    <t>If applicable, complete the "Debt Structure" section</t>
  </si>
  <si>
    <t>Step 3</t>
  </si>
  <si>
    <t>Step 4</t>
  </si>
  <si>
    <t>Premium Count</t>
  </si>
  <si>
    <t>Complete the "Rent Roll" section</t>
  </si>
  <si>
    <t>Use the Premium inputs to adjust rents upward after a value-add renovation</t>
  </si>
  <si>
    <t>(Optional)</t>
  </si>
  <si>
    <t>Market Rent ($)</t>
  </si>
  <si>
    <t>Step 5</t>
  </si>
  <si>
    <t>Input revenue, expense, and reserve assumptions in the "Estimated Cash Flows" section</t>
  </si>
  <si>
    <t>Use the optional "Op Ex Ratio" input to fix the operating expense ratio and disregard expense inputs</t>
  </si>
  <si>
    <t>Sale Price</t>
  </si>
  <si>
    <t>RENOVATION COSTS (Optional)</t>
  </si>
  <si>
    <t>MULTIFAMILYU QUICK DEAL ANALYZER</t>
  </si>
  <si>
    <t>Sale / Exit Cap Rate</t>
  </si>
  <si>
    <t>Reserves at Close</t>
  </si>
  <si>
    <t>Interest Only Period in Years</t>
  </si>
  <si>
    <t>Interest Rate</t>
  </si>
  <si>
    <t>DEAL STRUCTURE (Optional)</t>
  </si>
  <si>
    <t>Renovation Mgt Fee</t>
  </si>
  <si>
    <t>Sponsor Compensation</t>
  </si>
  <si>
    <t>Hurdle /  Investor Pref</t>
  </si>
  <si>
    <t>Created by Bullpen Analysis Services</t>
  </si>
  <si>
    <t>DISPOSITION &amp; RETURNS</t>
  </si>
  <si>
    <t>Sponsor</t>
  </si>
  <si>
    <t>Cashflow</t>
  </si>
  <si>
    <t>Sale Proceeds</t>
  </si>
  <si>
    <t>Avg Annualized</t>
  </si>
  <si>
    <t>Avg Cash on Cash</t>
  </si>
  <si>
    <t>Debt Coverage Ratio (DSCR) Yr 1</t>
  </si>
  <si>
    <t>GPR</t>
  </si>
  <si>
    <t>Contract Services</t>
  </si>
  <si>
    <t>Marketing</t>
  </si>
  <si>
    <t>Other</t>
  </si>
  <si>
    <t>Premium Incr</t>
  </si>
  <si>
    <t>Median Household Income</t>
  </si>
  <si>
    <t xml:space="preserve">Population Growth </t>
  </si>
  <si>
    <t>YOY Job Growth</t>
  </si>
  <si>
    <t>MARKET DEMOGRAPHICS (Optional)</t>
  </si>
  <si>
    <t>CF</t>
  </si>
  <si>
    <t>Sale</t>
  </si>
  <si>
    <t>Excess CF</t>
  </si>
  <si>
    <t>Excess Sale</t>
  </si>
  <si>
    <t>Investor Pref</t>
  </si>
  <si>
    <t>Investor Equity</t>
  </si>
  <si>
    <t>Investor CF</t>
  </si>
  <si>
    <t>Investor Sale</t>
  </si>
  <si>
    <t>Net Cash Flow</t>
  </si>
  <si>
    <t>Yield</t>
  </si>
  <si>
    <t>Total CF</t>
  </si>
  <si>
    <t>Sponsor total with all fees</t>
  </si>
  <si>
    <t>2BD/2BA (Renovated)</t>
  </si>
  <si>
    <t>2BD/2BA (Classic)</t>
  </si>
  <si>
    <t>Req'd Pref</t>
  </si>
  <si>
    <t>Req'd Sale</t>
  </si>
  <si>
    <t>If applicable, complete the "Deal Structure" section</t>
  </si>
  <si>
    <t>If applicable, complete the "Renovation Costs" section</t>
  </si>
  <si>
    <t>Optional, complete the "Market Demographics" section</t>
  </si>
  <si>
    <t>Step 6</t>
  </si>
  <si>
    <t>Step 7</t>
  </si>
  <si>
    <t>Total Asset mgmts</t>
  </si>
  <si>
    <t>% of EGR</t>
  </si>
  <si>
    <t>DSCR</t>
  </si>
  <si>
    <t xml:space="preserve">Debt Coverage Ratio (DSCR) Stabilized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</si>
</sst>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Year &quot;0"/>
    <numFmt numFmtId="167" formatCode="&quot;$&quot;#,##0"/>
    <numFmt numFmtId="168" formatCode="_(&quot;$&quot;* #,##0_);_(&quot;$&quot;* \(#,##0\);_(&quot;$&quot;* &quot;-&quot;??_);_(@_)"/>
    <numFmt numFmtId="169" formatCode="0\ &quot;Years&quot;"/>
    <numFmt numFmtId="170" formatCode="0\ &quot;Units&quot;"/>
    <numFmt numFmtId="171" formatCode="0.0&quot;X&quot;"/>
    <numFmt numFmtId="172" formatCode="0\ &quot;SF&quot;"/>
    <numFmt numFmtId="173" formatCode="##,##0\ &quot;SF&quot;"/>
    <numFmt numFmtId="174" formatCode="0.00&quot;X&quot;"/>
    <numFmt numFmtId="175" formatCode="0%\ &quot;Investors&quot;"/>
    <numFmt numFmtId="176" formatCode="_(&quot;$&quot;* #,##0_);_(&quot;$&quot;* \(#,##0\);_(&quot;$&quot;* &quot;-&quot;?_);_(@_)"/>
    <numFmt numFmtId="177" formatCode="&quot;$&quot;#,##0&quot; / unit&quot;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4"/>
      <color theme="0"/>
      <name val="Calibri"/>
      <family val="2"/>
      <scheme val="minor"/>
    </font>
    <font>
      <sz val="11"/>
      <color rgb="FF000000"/>
      <name val="+mn-lt"/>
      <charset val="1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006CBF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Tahoma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u/>
      <sz val="18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7F8B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55">
    <xf numFmtId="0" fontId="0" fillId="0" borderId="0" xfId="0"/>
    <xf numFmtId="0" fontId="3" fillId="0" borderId="0" xfId="0" applyFont="1"/>
    <xf numFmtId="168" fontId="4" fillId="0" borderId="0" xfId="4" applyNumberFormat="1" applyFont="1" applyFill="1" applyBorder="1"/>
    <xf numFmtId="0" fontId="5" fillId="0" borderId="0" xfId="5" applyBorder="1" applyAlignment="1">
      <alignment horizontal="left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right"/>
    </xf>
    <xf numFmtId="166" fontId="6" fillId="0" borderId="5" xfId="0" applyNumberFormat="1" applyFont="1" applyBorder="1" applyAlignment="1">
      <alignment horizontal="right"/>
    </xf>
    <xf numFmtId="168" fontId="11" fillId="0" borderId="0" xfId="4" applyNumberFormat="1" applyFont="1" applyFill="1" applyBorder="1"/>
    <xf numFmtId="0" fontId="0" fillId="0" borderId="4" xfId="0" applyBorder="1"/>
    <xf numFmtId="168" fontId="0" fillId="0" borderId="0" xfId="4" applyNumberFormat="1" applyFont="1" applyFill="1" applyBorder="1"/>
    <xf numFmtId="168" fontId="0" fillId="0" borderId="0" xfId="0" applyNumberFormat="1" applyAlignment="1">
      <alignment horizontal="right"/>
    </xf>
    <xf numFmtId="168" fontId="0" fillId="0" borderId="5" xfId="4" applyNumberFormat="1" applyFont="1" applyFill="1" applyBorder="1"/>
    <xf numFmtId="170" fontId="11" fillId="0" borderId="0" xfId="0" applyNumberFormat="1" applyFont="1"/>
    <xf numFmtId="168" fontId="12" fillId="0" borderId="0" xfId="4" applyNumberFormat="1" applyFont="1" applyFill="1" applyBorder="1" applyAlignment="1">
      <alignment horizontal="right"/>
    </xf>
    <xf numFmtId="168" fontId="12" fillId="0" borderId="5" xfId="4" applyNumberFormat="1" applyFont="1" applyFill="1" applyBorder="1"/>
    <xf numFmtId="10" fontId="0" fillId="0" borderId="0" xfId="2" applyNumberFormat="1" applyFont="1" applyFill="1" applyBorder="1"/>
    <xf numFmtId="0" fontId="0" fillId="0" borderId="5" xfId="0" applyBorder="1"/>
    <xf numFmtId="165" fontId="11" fillId="0" borderId="0" xfId="0" applyNumberFormat="1" applyFont="1"/>
    <xf numFmtId="0" fontId="10" fillId="0" borderId="5" xfId="0" applyFont="1" applyBorder="1"/>
    <xf numFmtId="10" fontId="11" fillId="0" borderId="0" xfId="0" applyNumberFormat="1" applyFont="1"/>
    <xf numFmtId="168" fontId="12" fillId="0" borderId="0" xfId="4" applyNumberFormat="1" applyFont="1" applyFill="1" applyBorder="1"/>
    <xf numFmtId="0" fontId="10" fillId="0" borderId="4" xfId="0" applyFont="1" applyBorder="1"/>
    <xf numFmtId="168" fontId="10" fillId="0" borderId="0" xfId="4" applyNumberFormat="1" applyFont="1" applyFill="1" applyBorder="1"/>
    <xf numFmtId="0" fontId="13" fillId="0" borderId="0" xfId="0" applyFont="1"/>
    <xf numFmtId="169" fontId="11" fillId="0" borderId="0" xfId="0" applyNumberFormat="1" applyFont="1"/>
    <xf numFmtId="164" fontId="10" fillId="0" borderId="0" xfId="0" applyNumberFormat="1" applyFont="1"/>
    <xf numFmtId="0" fontId="0" fillId="2" borderId="7" xfId="0" applyFill="1" applyBorder="1"/>
    <xf numFmtId="0" fontId="0" fillId="2" borderId="1" xfId="0" applyFill="1" applyBorder="1"/>
    <xf numFmtId="166" fontId="10" fillId="0" borderId="0" xfId="0" applyNumberFormat="1" applyFont="1"/>
    <xf numFmtId="168" fontId="0" fillId="0" borderId="0" xfId="0" applyNumberFormat="1"/>
    <xf numFmtId="168" fontId="12" fillId="0" borderId="0" xfId="0" applyNumberFormat="1" applyFont="1"/>
    <xf numFmtId="168" fontId="14" fillId="0" borderId="0" xfId="4" applyNumberFormat="1" applyFont="1" applyFill="1" applyBorder="1"/>
    <xf numFmtId="165" fontId="0" fillId="0" borderId="0" xfId="2" applyNumberFormat="1" applyFont="1" applyFill="1" applyBorder="1"/>
    <xf numFmtId="0" fontId="0" fillId="0" borderId="1" xfId="0" applyBorder="1"/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right"/>
    </xf>
    <xf numFmtId="0" fontId="0" fillId="0" borderId="4" xfId="0" applyBorder="1" applyAlignment="1">
      <alignment horizontal="left"/>
    </xf>
    <xf numFmtId="168" fontId="0" fillId="0" borderId="0" xfId="4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5" fontId="0" fillId="0" borderId="5" xfId="2" applyNumberFormat="1" applyFont="1" applyFill="1" applyBorder="1"/>
    <xf numFmtId="165" fontId="12" fillId="0" borderId="0" xfId="2" applyNumberFormat="1" applyFont="1" applyFill="1" applyBorder="1"/>
    <xf numFmtId="165" fontId="7" fillId="0" borderId="5" xfId="2" applyNumberFormat="1" applyFont="1" applyFill="1" applyBorder="1"/>
    <xf numFmtId="0" fontId="6" fillId="0" borderId="7" xfId="0" applyFont="1" applyBorder="1" applyAlignment="1">
      <alignment horizontal="left"/>
    </xf>
    <xf numFmtId="168" fontId="6" fillId="0" borderId="1" xfId="4" applyNumberFormat="1" applyFont="1" applyFill="1" applyBorder="1"/>
    <xf numFmtId="165" fontId="6" fillId="0" borderId="1" xfId="2" applyNumberFormat="1" applyFont="1" applyFill="1" applyBorder="1"/>
    <xf numFmtId="0" fontId="6" fillId="0" borderId="1" xfId="0" applyFont="1" applyBorder="1" applyAlignment="1">
      <alignment horizontal="left"/>
    </xf>
    <xf numFmtId="168" fontId="6" fillId="0" borderId="1" xfId="4" applyNumberFormat="1" applyFont="1" applyFill="1" applyBorder="1" applyAlignment="1">
      <alignment horizontal="right"/>
    </xf>
    <xf numFmtId="165" fontId="6" fillId="0" borderId="8" xfId="2" applyNumberFormat="1" applyFont="1" applyFill="1" applyBorder="1"/>
    <xf numFmtId="0" fontId="0" fillId="0" borderId="0" xfId="0" applyAlignment="1">
      <alignment wrapText="1"/>
    </xf>
    <xf numFmtId="173" fontId="0" fillId="2" borderId="1" xfId="1" applyNumberFormat="1" applyFont="1" applyFill="1" applyBorder="1"/>
    <xf numFmtId="168" fontId="0" fillId="2" borderId="1" xfId="4" applyNumberFormat="1" applyFont="1" applyFill="1" applyBorder="1"/>
    <xf numFmtId="168" fontId="0" fillId="2" borderId="8" xfId="4" applyNumberFormat="1" applyFont="1" applyFill="1" applyBorder="1"/>
    <xf numFmtId="168" fontId="11" fillId="3" borderId="9" xfId="4" applyNumberFormat="1" applyFont="1" applyFill="1" applyBorder="1" applyAlignment="1">
      <alignment horizontal="right"/>
    </xf>
    <xf numFmtId="0" fontId="17" fillId="4" borderId="2" xfId="0" applyFont="1" applyFill="1" applyBorder="1"/>
    <xf numFmtId="0" fontId="9" fillId="4" borderId="3" xfId="0" applyFont="1" applyFill="1" applyBorder="1"/>
    <xf numFmtId="0" fontId="9" fillId="4" borderId="6" xfId="0" applyFont="1" applyFill="1" applyBorder="1"/>
    <xf numFmtId="0" fontId="8" fillId="4" borderId="3" xfId="0" applyFont="1" applyFill="1" applyBorder="1"/>
    <xf numFmtId="0" fontId="11" fillId="3" borderId="13" xfId="0" applyFont="1" applyFill="1" applyBorder="1" applyAlignment="1">
      <alignment horizontal="right"/>
    </xf>
    <xf numFmtId="172" fontId="11" fillId="3" borderId="13" xfId="0" applyNumberFormat="1" applyFont="1" applyFill="1" applyBorder="1"/>
    <xf numFmtId="168" fontId="11" fillId="3" borderId="13" xfId="4" applyNumberFormat="1" applyFont="1" applyFill="1" applyBorder="1" applyAlignment="1">
      <alignment horizontal="right"/>
    </xf>
    <xf numFmtId="0" fontId="0" fillId="3" borderId="13" xfId="0" applyFill="1" applyBorder="1"/>
    <xf numFmtId="0" fontId="11" fillId="3" borderId="9" xfId="0" applyFont="1" applyFill="1" applyBorder="1" applyAlignment="1">
      <alignment horizontal="right"/>
    </xf>
    <xf numFmtId="172" fontId="11" fillId="3" borderId="9" xfId="0" applyNumberFormat="1" applyFont="1" applyFill="1" applyBorder="1"/>
    <xf numFmtId="0" fontId="0" fillId="3" borderId="9" xfId="0" applyFill="1" applyBorder="1"/>
    <xf numFmtId="0" fontId="6" fillId="5" borderId="4" xfId="0" applyFont="1" applyFill="1" applyBorder="1"/>
    <xf numFmtId="0" fontId="0" fillId="5" borderId="0" xfId="0" applyFill="1"/>
    <xf numFmtId="0" fontId="0" fillId="5" borderId="5" xfId="0" applyFill="1" applyBorder="1"/>
    <xf numFmtId="0" fontId="0" fillId="5" borderId="4" xfId="0" applyFill="1" applyBorder="1"/>
    <xf numFmtId="0" fontId="13" fillId="5" borderId="4" xfId="0" applyFont="1" applyFill="1" applyBorder="1" applyAlignment="1">
      <alignment horizontal="left"/>
    </xf>
    <xf numFmtId="0" fontId="10" fillId="5" borderId="0" xfId="0" applyFont="1" applyFill="1"/>
    <xf numFmtId="0" fontId="0" fillId="5" borderId="4" xfId="0" applyFill="1" applyBorder="1" applyAlignment="1">
      <alignment horizontal="left"/>
    </xf>
    <xf numFmtId="0" fontId="13" fillId="5" borderId="4" xfId="0" applyFont="1" applyFill="1" applyBorder="1"/>
    <xf numFmtId="0" fontId="10" fillId="5" borderId="4" xfId="0" applyFont="1" applyFill="1" applyBorder="1"/>
    <xf numFmtId="0" fontId="10" fillId="5" borderId="7" xfId="0" applyFont="1" applyFill="1" applyBorder="1"/>
    <xf numFmtId="0" fontId="10" fillId="5" borderId="1" xfId="0" applyFont="1" applyFill="1" applyBorder="1"/>
    <xf numFmtId="0" fontId="10" fillId="5" borderId="5" xfId="0" applyFont="1" applyFill="1" applyBorder="1"/>
    <xf numFmtId="0" fontId="17" fillId="4" borderId="2" xfId="0" applyFont="1" applyFill="1" applyBorder="1" applyAlignment="1">
      <alignment horizontal="left"/>
    </xf>
    <xf numFmtId="0" fontId="0" fillId="5" borderId="7" xfId="0" applyFill="1" applyBorder="1"/>
    <xf numFmtId="0" fontId="0" fillId="5" borderId="1" xfId="0" applyFill="1" applyBorder="1"/>
    <xf numFmtId="0" fontId="6" fillId="5" borderId="0" xfId="0" applyFont="1" applyFill="1" applyAlignment="1">
      <alignment horizontal="right"/>
    </xf>
    <xf numFmtId="0" fontId="6" fillId="5" borderId="5" xfId="0" applyFont="1" applyFill="1" applyBorder="1" applyAlignment="1">
      <alignment horizontal="right"/>
    </xf>
    <xf numFmtId="0" fontId="6" fillId="5" borderId="4" xfId="0" applyFont="1" applyFill="1" applyBorder="1" applyAlignment="1">
      <alignment wrapText="1"/>
    </xf>
    <xf numFmtId="0" fontId="6" fillId="5" borderId="0" xfId="0" applyFont="1" applyFill="1" applyAlignment="1">
      <alignment horizontal="right" wrapText="1"/>
    </xf>
    <xf numFmtId="0" fontId="0" fillId="5" borderId="0" xfId="0" applyFill="1" applyAlignment="1">
      <alignment wrapText="1"/>
    </xf>
    <xf numFmtId="0" fontId="6" fillId="5" borderId="5" xfId="0" applyFont="1" applyFill="1" applyBorder="1" applyAlignment="1">
      <alignment horizontal="right" wrapText="1"/>
    </xf>
    <xf numFmtId="168" fontId="10" fillId="5" borderId="16" xfId="4" applyNumberFormat="1" applyFont="1" applyFill="1" applyBorder="1"/>
    <xf numFmtId="168" fontId="10" fillId="5" borderId="10" xfId="4" applyNumberFormat="1" applyFont="1" applyFill="1" applyBorder="1"/>
    <xf numFmtId="0" fontId="13" fillId="5" borderId="0" xfId="0" applyFont="1" applyFill="1" applyAlignment="1">
      <alignment horizontal="right"/>
    </xf>
    <xf numFmtId="0" fontId="13" fillId="5" borderId="5" xfId="0" applyFont="1" applyFill="1" applyBorder="1" applyAlignment="1">
      <alignment horizontal="right"/>
    </xf>
    <xf numFmtId="171" fontId="10" fillId="0" borderId="0" xfId="4" applyNumberFormat="1" applyFont="1" applyFill="1" applyBorder="1"/>
    <xf numFmtId="0" fontId="10" fillId="6" borderId="0" xfId="0" applyFont="1" applyFill="1"/>
    <xf numFmtId="168" fontId="0" fillId="6" borderId="0" xfId="0" applyNumberFormat="1" applyFill="1"/>
    <xf numFmtId="168" fontId="0" fillId="6" borderId="0" xfId="0" applyNumberFormat="1" applyFill="1" applyAlignment="1">
      <alignment horizontal="right"/>
    </xf>
    <xf numFmtId="0" fontId="13" fillId="5" borderId="0" xfId="0" applyFont="1" applyFill="1"/>
    <xf numFmtId="0" fontId="11" fillId="3" borderId="14" xfId="0" applyFont="1" applyFill="1" applyBorder="1" applyAlignment="1">
      <alignment horizontal="right"/>
    </xf>
    <xf numFmtId="0" fontId="0" fillId="0" borderId="3" xfId="0" applyBorder="1"/>
    <xf numFmtId="174" fontId="0" fillId="0" borderId="3" xfId="0" applyNumberFormat="1" applyBorder="1"/>
    <xf numFmtId="0" fontId="3" fillId="6" borderId="0" xfId="0" applyFont="1" applyFill="1"/>
    <xf numFmtId="0" fontId="17" fillId="6" borderId="0" xfId="0" applyFont="1" applyFill="1"/>
    <xf numFmtId="0" fontId="8" fillId="6" borderId="0" xfId="0" applyFont="1" applyFill="1"/>
    <xf numFmtId="0" fontId="9" fillId="6" borderId="0" xfId="0" applyFont="1" applyFill="1"/>
    <xf numFmtId="166" fontId="6" fillId="6" borderId="0" xfId="0" applyNumberFormat="1" applyFont="1" applyFill="1"/>
    <xf numFmtId="167" fontId="11" fillId="6" borderId="0" xfId="0" applyNumberFormat="1" applyFont="1" applyFill="1"/>
    <xf numFmtId="0" fontId="6" fillId="6" borderId="0" xfId="0" applyFont="1" applyFill="1" applyAlignment="1">
      <alignment horizontal="right"/>
    </xf>
    <xf numFmtId="166" fontId="6" fillId="6" borderId="0" xfId="0" applyNumberFormat="1" applyFont="1" applyFill="1" applyAlignment="1">
      <alignment horizontal="right"/>
    </xf>
    <xf numFmtId="0" fontId="0" fillId="6" borderId="0" xfId="0" applyFill="1"/>
    <xf numFmtId="168" fontId="0" fillId="6" borderId="0" xfId="4" applyNumberFormat="1" applyFont="1" applyFill="1" applyBorder="1"/>
    <xf numFmtId="169" fontId="11" fillId="6" borderId="0" xfId="0" applyNumberFormat="1" applyFont="1" applyFill="1" applyAlignment="1">
      <alignment horizontal="right"/>
    </xf>
    <xf numFmtId="167" fontId="0" fillId="6" borderId="0" xfId="0" applyNumberFormat="1" applyFill="1"/>
    <xf numFmtId="165" fontId="11" fillId="6" borderId="0" xfId="2" applyNumberFormat="1" applyFont="1" applyFill="1" applyBorder="1" applyAlignment="1">
      <alignment horizontal="right"/>
    </xf>
    <xf numFmtId="168" fontId="11" fillId="6" borderId="0" xfId="4" applyNumberFormat="1" applyFont="1" applyFill="1" applyBorder="1" applyAlignment="1">
      <alignment horizontal="right"/>
    </xf>
    <xf numFmtId="168" fontId="12" fillId="6" borderId="0" xfId="4" applyNumberFormat="1" applyFont="1" applyFill="1" applyBorder="1" applyAlignment="1">
      <alignment horizontal="right"/>
    </xf>
    <xf numFmtId="168" fontId="12" fillId="6" borderId="0" xfId="0" applyNumberFormat="1" applyFont="1" applyFill="1" applyAlignment="1">
      <alignment horizontal="right"/>
    </xf>
    <xf numFmtId="168" fontId="12" fillId="6" borderId="0" xfId="4" applyNumberFormat="1" applyFont="1" applyFill="1" applyBorder="1"/>
    <xf numFmtId="9" fontId="11" fillId="6" borderId="0" xfId="0" applyNumberFormat="1" applyFont="1" applyFill="1"/>
    <xf numFmtId="0" fontId="13" fillId="6" borderId="0" xfId="0" applyFont="1" applyFill="1"/>
    <xf numFmtId="167" fontId="10" fillId="6" borderId="0" xfId="0" applyNumberFormat="1" applyFont="1" applyFill="1"/>
    <xf numFmtId="9" fontId="0" fillId="6" borderId="0" xfId="2" applyFont="1" applyFill="1" applyBorder="1"/>
    <xf numFmtId="0" fontId="6" fillId="6" borderId="0" xfId="0" applyFont="1" applyFill="1"/>
    <xf numFmtId="168" fontId="6" fillId="6" borderId="0" xfId="4" applyNumberFormat="1" applyFont="1" applyFill="1" applyBorder="1"/>
    <xf numFmtId="168" fontId="6" fillId="6" borderId="0" xfId="0" applyNumberFormat="1" applyFont="1" applyFill="1" applyAlignment="1">
      <alignment horizontal="right"/>
    </xf>
    <xf numFmtId="0" fontId="10" fillId="6" borderId="0" xfId="0" applyFont="1" applyFill="1" applyAlignment="1">
      <alignment horizontal="right"/>
    </xf>
    <xf numFmtId="174" fontId="0" fillId="6" borderId="0" xfId="0" applyNumberFormat="1" applyFill="1"/>
    <xf numFmtId="165" fontId="19" fillId="6" borderId="0" xfId="2" applyNumberFormat="1" applyFont="1" applyFill="1" applyBorder="1" applyAlignment="1">
      <alignment horizontal="right"/>
    </xf>
    <xf numFmtId="0" fontId="19" fillId="6" borderId="0" xfId="0" applyFont="1" applyFill="1"/>
    <xf numFmtId="0" fontId="4" fillId="0" borderId="0" xfId="0" applyFont="1"/>
    <xf numFmtId="164" fontId="10" fillId="0" borderId="0" xfId="1" applyNumberFormat="1" applyFont="1" applyFill="1" applyBorder="1"/>
    <xf numFmtId="164" fontId="14" fillId="0" borderId="0" xfId="0" applyNumberFormat="1" applyFont="1"/>
    <xf numFmtId="9" fontId="10" fillId="0" borderId="0" xfId="2" applyFont="1" applyFill="1" applyBorder="1"/>
    <xf numFmtId="9" fontId="10" fillId="0" borderId="0" xfId="0" applyNumberFormat="1" applyFont="1"/>
    <xf numFmtId="0" fontId="10" fillId="0" borderId="0" xfId="0" applyFont="1" applyAlignment="1">
      <alignment wrapText="1"/>
    </xf>
    <xf numFmtId="0" fontId="4" fillId="6" borderId="0" xfId="0" applyFont="1" applyFill="1"/>
    <xf numFmtId="0" fontId="11" fillId="3" borderId="12" xfId="0" applyFont="1" applyFill="1" applyBorder="1" applyAlignment="1">
      <alignment horizontal="left"/>
    </xf>
    <xf numFmtId="0" fontId="11" fillId="3" borderId="14" xfId="0" applyFont="1" applyFill="1" applyBorder="1" applyAlignment="1">
      <alignment horizontal="left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2" borderId="0" xfId="0" applyFont="1" applyFill="1"/>
    <xf numFmtId="0" fontId="22" fillId="0" borderId="11" xfId="0" applyFont="1" applyBorder="1"/>
    <xf numFmtId="0" fontId="25" fillId="0" borderId="0" xfId="0" applyFont="1"/>
    <xf numFmtId="0" fontId="27" fillId="0" borderId="0" xfId="0" applyFont="1"/>
    <xf numFmtId="0" fontId="26" fillId="0" borderId="0" xfId="0" applyFont="1"/>
    <xf numFmtId="0" fontId="0" fillId="0" borderId="7" xfId="0" applyBorder="1"/>
    <xf numFmtId="0" fontId="8" fillId="0" borderId="0" xfId="0" applyFont="1"/>
    <xf numFmtId="165" fontId="0" fillId="0" borderId="0" xfId="0" applyNumberFormat="1"/>
    <xf numFmtId="0" fontId="10" fillId="5" borderId="7" xfId="0" applyFont="1" applyFill="1" applyBorder="1" applyAlignment="1">
      <alignment horizontal="left"/>
    </xf>
    <xf numFmtId="0" fontId="17" fillId="6" borderId="0" xfId="0" applyFont="1" applyFill="1" applyAlignment="1">
      <alignment horizontal="left"/>
    </xf>
    <xf numFmtId="0" fontId="13" fillId="6" borderId="0" xfId="0" applyFont="1" applyFill="1" applyAlignment="1">
      <alignment horizontal="right"/>
    </xf>
    <xf numFmtId="168" fontId="12" fillId="6" borderId="0" xfId="0" applyNumberFormat="1" applyFont="1" applyFill="1"/>
    <xf numFmtId="0" fontId="3" fillId="6" borderId="0" xfId="0" applyFont="1" applyFill="1" applyAlignment="1">
      <alignment horizontal="right"/>
    </xf>
    <xf numFmtId="165" fontId="10" fillId="6" borderId="0" xfId="2" applyNumberFormat="1" applyFont="1" applyFill="1" applyBorder="1" applyAlignment="1">
      <alignment horizontal="right"/>
    </xf>
    <xf numFmtId="171" fontId="10" fillId="6" borderId="0" xfId="4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168" fontId="10" fillId="0" borderId="5" xfId="4" applyNumberFormat="1" applyFont="1" applyFill="1" applyBorder="1"/>
    <xf numFmtId="9" fontId="0" fillId="0" borderId="0" xfId="2" applyFont="1" applyFill="1" applyBorder="1" applyAlignment="1">
      <alignment horizontal="center"/>
    </xf>
    <xf numFmtId="9" fontId="10" fillId="0" borderId="0" xfId="2" applyFont="1" applyFill="1" applyBorder="1" applyAlignment="1">
      <alignment horizontal="center"/>
    </xf>
    <xf numFmtId="166" fontId="6" fillId="5" borderId="4" xfId="0" applyNumberFormat="1" applyFont="1" applyFill="1" applyBorder="1"/>
    <xf numFmtId="167" fontId="11" fillId="5" borderId="0" xfId="0" applyNumberFormat="1" applyFont="1" applyFill="1"/>
    <xf numFmtId="166" fontId="6" fillId="5" borderId="0" xfId="0" applyNumberFormat="1" applyFont="1" applyFill="1" applyAlignment="1">
      <alignment horizontal="right"/>
    </xf>
    <xf numFmtId="166" fontId="6" fillId="5" borderId="5" xfId="0" applyNumberFormat="1" applyFont="1" applyFill="1" applyBorder="1" applyAlignment="1">
      <alignment horizontal="right"/>
    </xf>
    <xf numFmtId="168" fontId="0" fillId="5" borderId="0" xfId="4" applyNumberFormat="1" applyFont="1" applyFill="1" applyBorder="1"/>
    <xf numFmtId="168" fontId="0" fillId="5" borderId="5" xfId="4" applyNumberFormat="1" applyFont="1" applyFill="1" applyBorder="1"/>
    <xf numFmtId="167" fontId="0" fillId="5" borderId="0" xfId="0" applyNumberFormat="1" applyFill="1"/>
    <xf numFmtId="168" fontId="12" fillId="5" borderId="0" xfId="4" applyNumberFormat="1" applyFont="1" applyFill="1" applyBorder="1" applyAlignment="1">
      <alignment horizontal="right"/>
    </xf>
    <xf numFmtId="168" fontId="12" fillId="5" borderId="5" xfId="4" applyNumberFormat="1" applyFont="1" applyFill="1" applyBorder="1"/>
    <xf numFmtId="9" fontId="11" fillId="5" borderId="0" xfId="0" applyNumberFormat="1" applyFont="1" applyFill="1"/>
    <xf numFmtId="168" fontId="12" fillId="5" borderId="0" xfId="4" applyNumberFormat="1" applyFont="1" applyFill="1" applyBorder="1"/>
    <xf numFmtId="9" fontId="0" fillId="5" borderId="0" xfId="2" applyFont="1" applyFill="1" applyBorder="1"/>
    <xf numFmtId="9" fontId="0" fillId="5" borderId="5" xfId="2" applyFont="1" applyFill="1" applyBorder="1"/>
    <xf numFmtId="168" fontId="6" fillId="5" borderId="0" xfId="4" applyNumberFormat="1" applyFont="1" applyFill="1" applyBorder="1"/>
    <xf numFmtId="168" fontId="6" fillId="5" borderId="0" xfId="0" applyNumberFormat="1" applyFont="1" applyFill="1" applyAlignment="1">
      <alignment horizontal="right"/>
    </xf>
    <xf numFmtId="168" fontId="6" fillId="5" borderId="5" xfId="4" applyNumberFormat="1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6" fillId="6" borderId="3" xfId="0" applyFont="1" applyFill="1" applyBorder="1" applyAlignment="1">
      <alignment horizontal="right"/>
    </xf>
    <xf numFmtId="0" fontId="6" fillId="6" borderId="6" xfId="0" applyFont="1" applyFill="1" applyBorder="1" applyAlignment="1">
      <alignment horizontal="right"/>
    </xf>
    <xf numFmtId="0" fontId="10" fillId="6" borderId="4" xfId="0" applyFont="1" applyFill="1" applyBorder="1"/>
    <xf numFmtId="165" fontId="10" fillId="6" borderId="5" xfId="2" applyNumberFormat="1" applyFont="1" applyFill="1" applyBorder="1" applyAlignment="1">
      <alignment horizontal="right"/>
    </xf>
    <xf numFmtId="0" fontId="10" fillId="6" borderId="7" xfId="0" applyFont="1" applyFill="1" applyBorder="1"/>
    <xf numFmtId="0" fontId="0" fillId="6" borderId="1" xfId="0" applyFill="1" applyBorder="1"/>
    <xf numFmtId="165" fontId="10" fillId="6" borderId="1" xfId="2" applyNumberFormat="1" applyFont="1" applyFill="1" applyBorder="1" applyAlignment="1">
      <alignment horizontal="right"/>
    </xf>
    <xf numFmtId="165" fontId="0" fillId="6" borderId="1" xfId="2" applyNumberFormat="1" applyFont="1" applyFill="1" applyBorder="1" applyAlignment="1">
      <alignment horizontal="right"/>
    </xf>
    <xf numFmtId="171" fontId="10" fillId="6" borderId="1" xfId="4" applyNumberFormat="1" applyFont="1" applyFill="1" applyBorder="1" applyAlignment="1">
      <alignment horizontal="right"/>
    </xf>
    <xf numFmtId="165" fontId="10" fillId="6" borderId="8" xfId="2" applyNumberFormat="1" applyFont="1" applyFill="1" applyBorder="1" applyAlignment="1">
      <alignment horizontal="right"/>
    </xf>
    <xf numFmtId="0" fontId="20" fillId="0" borderId="0" xfId="0" applyFont="1" applyAlignment="1">
      <alignment horizontal="right"/>
    </xf>
    <xf numFmtId="0" fontId="28" fillId="0" borderId="0" xfId="0" applyFont="1"/>
    <xf numFmtId="169" fontId="28" fillId="0" borderId="0" xfId="0" applyNumberFormat="1" applyFont="1"/>
    <xf numFmtId="0" fontId="29" fillId="0" borderId="0" xfId="0" applyFont="1" applyAlignment="1">
      <alignment horizontal="right"/>
    </xf>
    <xf numFmtId="165" fontId="11" fillId="3" borderId="9" xfId="2" applyNumberFormat="1" applyFont="1" applyFill="1" applyBorder="1" applyAlignment="1">
      <alignment horizontal="right" vertical="center"/>
    </xf>
    <xf numFmtId="169" fontId="11" fillId="3" borderId="9" xfId="0" applyNumberFormat="1" applyFont="1" applyFill="1" applyBorder="1" applyAlignment="1">
      <alignment horizontal="right" vertical="center"/>
    </xf>
    <xf numFmtId="168" fontId="11" fillId="3" borderId="9" xfId="4" applyNumberFormat="1" applyFon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0" fontId="10" fillId="5" borderId="0" xfId="0" applyFont="1" applyFill="1" applyAlignment="1">
      <alignment vertical="center"/>
    </xf>
    <xf numFmtId="165" fontId="11" fillId="3" borderId="10" xfId="2" applyNumberFormat="1" applyFont="1" applyFill="1" applyBorder="1" applyAlignment="1">
      <alignment horizontal="right" vertical="center"/>
    </xf>
    <xf numFmtId="168" fontId="10" fillId="5" borderId="5" xfId="4" applyNumberFormat="1" applyFont="1" applyFill="1" applyBorder="1" applyAlignment="1">
      <alignment vertical="center"/>
    </xf>
    <xf numFmtId="10" fontId="11" fillId="3" borderId="10" xfId="2" applyNumberFormat="1" applyFont="1" applyFill="1" applyBorder="1" applyAlignment="1">
      <alignment horizontal="right" vertical="center"/>
    </xf>
    <xf numFmtId="169" fontId="11" fillId="3" borderId="10" xfId="0" applyNumberFormat="1" applyFont="1" applyFill="1" applyBorder="1" applyAlignment="1">
      <alignment horizontal="right" vertical="center"/>
    </xf>
    <xf numFmtId="9" fontId="11" fillId="3" borderId="9" xfId="2" applyFont="1" applyFill="1" applyBorder="1" applyAlignment="1">
      <alignment horizontal="right" vertical="center"/>
    </xf>
    <xf numFmtId="175" fontId="1" fillId="5" borderId="10" xfId="2" applyNumberFormat="1" applyFont="1" applyFill="1" applyBorder="1" applyAlignment="1">
      <alignment horizontal="right" vertical="center"/>
    </xf>
    <xf numFmtId="165" fontId="11" fillId="3" borderId="16" xfId="2" applyNumberFormat="1" applyFont="1" applyFill="1" applyBorder="1" applyAlignment="1">
      <alignment horizontal="right" vertical="center"/>
    </xf>
    <xf numFmtId="0" fontId="10" fillId="5" borderId="5" xfId="0" applyFont="1" applyFill="1" applyBorder="1" applyAlignment="1">
      <alignment vertical="center"/>
    </xf>
    <xf numFmtId="165" fontId="11" fillId="3" borderId="15" xfId="2" applyNumberFormat="1" applyFont="1" applyFill="1" applyBorder="1" applyAlignment="1">
      <alignment horizontal="right" vertical="center"/>
    </xf>
    <xf numFmtId="168" fontId="0" fillId="5" borderId="0" xfId="0" applyNumberFormat="1" applyFill="1" applyAlignment="1">
      <alignment horizontal="right" vertical="center"/>
    </xf>
    <xf numFmtId="168" fontId="11" fillId="3" borderId="10" xfId="4" applyNumberFormat="1" applyFont="1" applyFill="1" applyBorder="1" applyAlignment="1">
      <alignment horizontal="right" vertical="center"/>
    </xf>
    <xf numFmtId="168" fontId="0" fillId="5" borderId="5" xfId="0" applyNumberFormat="1" applyFill="1" applyBorder="1" applyAlignment="1">
      <alignment horizontal="right" vertical="center"/>
    </xf>
    <xf numFmtId="168" fontId="12" fillId="5" borderId="0" xfId="0" applyNumberFormat="1" applyFont="1" applyFill="1" applyAlignment="1">
      <alignment vertical="center"/>
    </xf>
    <xf numFmtId="168" fontId="12" fillId="5" borderId="5" xfId="0" applyNumberFormat="1" applyFont="1" applyFill="1" applyBorder="1" applyAlignment="1">
      <alignment horizontal="right" vertical="center"/>
    </xf>
    <xf numFmtId="168" fontId="0" fillId="5" borderId="0" xfId="0" applyNumberFormat="1" applyFill="1" applyAlignment="1">
      <alignment vertical="center"/>
    </xf>
    <xf numFmtId="168" fontId="0" fillId="5" borderId="1" xfId="0" applyNumberFormat="1" applyFill="1" applyBorder="1" applyAlignment="1">
      <alignment vertical="center"/>
    </xf>
    <xf numFmtId="168" fontId="0" fillId="5" borderId="8" xfId="0" applyNumberFormat="1" applyFill="1" applyBorder="1" applyAlignment="1">
      <alignment horizontal="right" vertical="center"/>
    </xf>
    <xf numFmtId="168" fontId="30" fillId="3" borderId="10" xfId="4" applyNumberFormat="1" applyFont="1" applyFill="1" applyBorder="1" applyAlignment="1">
      <alignment horizontal="right" vertical="center"/>
    </xf>
    <xf numFmtId="165" fontId="0" fillId="5" borderId="5" xfId="2" applyNumberFormat="1" applyFont="1" applyFill="1" applyBorder="1" applyAlignment="1">
      <alignment horizontal="right" vertical="center"/>
    </xf>
    <xf numFmtId="168" fontId="1" fillId="5" borderId="5" xfId="4" applyNumberFormat="1" applyFont="1" applyFill="1" applyBorder="1" applyAlignment="1">
      <alignment horizontal="right" vertical="center"/>
    </xf>
    <xf numFmtId="168" fontId="1" fillId="5" borderId="16" xfId="4" applyNumberFormat="1" applyFont="1" applyFill="1" applyBorder="1" applyAlignment="1">
      <alignment horizontal="right" vertical="center"/>
    </xf>
    <xf numFmtId="169" fontId="11" fillId="3" borderId="16" xfId="0" applyNumberFormat="1" applyFont="1" applyFill="1" applyBorder="1" applyAlignment="1">
      <alignment horizontal="right" vertical="center"/>
    </xf>
    <xf numFmtId="10" fontId="0" fillId="5" borderId="5" xfId="2" applyNumberFormat="1" applyFont="1" applyFill="1" applyBorder="1" applyAlignment="1">
      <alignment vertical="center"/>
    </xf>
    <xf numFmtId="165" fontId="11" fillId="3" borderId="17" xfId="2" applyNumberFormat="1" applyFont="1" applyFill="1" applyBorder="1" applyAlignment="1">
      <alignment horizontal="right" vertical="center"/>
    </xf>
    <xf numFmtId="0" fontId="5" fillId="0" borderId="0" xfId="5" applyBorder="1" applyAlignment="1">
      <alignment horizontal="right" vertical="top"/>
    </xf>
    <xf numFmtId="168" fontId="0" fillId="5" borderId="0" xfId="0" applyNumberFormat="1" applyFill="1" applyAlignment="1">
      <alignment horizontal="right"/>
    </xf>
    <xf numFmtId="0" fontId="17" fillId="4" borderId="2" xfId="0" applyFont="1" applyFill="1" applyBorder="1" applyAlignment="1">
      <alignment horizontal="left" vertical="center"/>
    </xf>
    <xf numFmtId="0" fontId="31" fillId="5" borderId="0" xfId="0" applyFont="1" applyFill="1" applyAlignment="1">
      <alignment horizontal="center" vertical="center"/>
    </xf>
    <xf numFmtId="165" fontId="11" fillId="3" borderId="0" xfId="2" applyNumberFormat="1" applyFont="1" applyFill="1" applyBorder="1" applyAlignment="1">
      <alignment horizontal="right" vertical="center"/>
    </xf>
    <xf numFmtId="0" fontId="31" fillId="5" borderId="4" xfId="0" applyFont="1" applyFill="1" applyBorder="1" applyAlignment="1">
      <alignment vertical="center" wrapText="1"/>
    </xf>
    <xf numFmtId="165" fontId="11" fillId="3" borderId="1" xfId="2" applyNumberFormat="1" applyFont="1" applyFill="1" applyBorder="1" applyAlignment="1">
      <alignment horizontal="right" vertical="center"/>
    </xf>
    <xf numFmtId="165" fontId="11" fillId="3" borderId="8" xfId="2" applyNumberFormat="1" applyFont="1" applyFill="1" applyBorder="1" applyAlignment="1">
      <alignment horizontal="right" vertical="center"/>
    </xf>
    <xf numFmtId="0" fontId="0" fillId="5" borderId="1" xfId="0" applyFill="1" applyBorder="1" applyAlignment="1">
      <alignment vertical="center"/>
    </xf>
    <xf numFmtId="0" fontId="0" fillId="5" borderId="8" xfId="0" applyFill="1" applyBorder="1"/>
    <xf numFmtId="164" fontId="0" fillId="0" borderId="0" xfId="0" applyNumberFormat="1"/>
    <xf numFmtId="164" fontId="12" fillId="0" borderId="0" xfId="0" applyNumberFormat="1" applyFont="1"/>
    <xf numFmtId="171" fontId="10" fillId="5" borderId="8" xfId="0" applyNumberFormat="1" applyFont="1" applyFill="1" applyBorder="1"/>
    <xf numFmtId="176" fontId="10" fillId="5" borderId="5" xfId="0" applyNumberFormat="1" applyFont="1" applyFill="1" applyBorder="1" applyAlignment="1">
      <alignment vertical="center"/>
    </xf>
    <xf numFmtId="168" fontId="10" fillId="5" borderId="8" xfId="0" applyNumberFormat="1" applyFont="1" applyFill="1" applyBorder="1" applyAlignment="1">
      <alignment vertical="center"/>
    </xf>
    <xf numFmtId="165" fontId="10" fillId="0" borderId="0" xfId="0" applyNumberFormat="1" applyFont="1" applyAlignment="1">
      <alignment horizontal="right"/>
    </xf>
    <xf numFmtId="165" fontId="10" fillId="0" borderId="0" xfId="2" applyNumberFormat="1" applyFont="1" applyFill="1" applyBorder="1" applyAlignment="1">
      <alignment horizontal="right"/>
    </xf>
    <xf numFmtId="177" fontId="11" fillId="3" borderId="9" xfId="4" applyNumberFormat="1" applyFont="1" applyFill="1" applyBorder="1" applyAlignment="1">
      <alignment horizontal="right" vertical="center"/>
    </xf>
    <xf numFmtId="44" fontId="11" fillId="3" borderId="7" xfId="4" applyFont="1" applyFill="1" applyBorder="1" applyAlignment="1">
      <alignment horizontal="right" vertical="center"/>
    </xf>
    <xf numFmtId="168" fontId="0" fillId="0" borderId="8" xfId="0" applyNumberFormat="1" applyBorder="1"/>
    <xf numFmtId="10" fontId="11" fillId="3" borderId="9" xfId="2" applyNumberFormat="1" applyFont="1" applyFill="1" applyBorder="1" applyAlignment="1">
      <alignment horizontal="right" vertical="center"/>
    </xf>
    <xf numFmtId="0" fontId="11" fillId="5" borderId="18" xfId="0" applyFont="1" applyFill="1" applyBorder="1" applyAlignment="1">
      <alignment horizontal="right" vertical="center"/>
    </xf>
    <xf numFmtId="0" fontId="5" fillId="5" borderId="5" xfId="5" applyFill="1" applyBorder="1" applyAlignment="1">
      <alignment horizontal="center" vertical="center"/>
    </xf>
    <xf numFmtId="0" fontId="35" fillId="0" borderId="0" xfId="5" applyFont="1" applyBorder="1"/>
    <xf numFmtId="164" fontId="4" fillId="0" borderId="0" xfId="0" applyNumberFormat="1" applyFont="1"/>
    <xf numFmtId="43" fontId="10" fillId="0" borderId="0" xfId="0" applyNumberFormat="1" applyFont="1"/>
    <xf numFmtId="43" fontId="10" fillId="0" borderId="0" xfId="1" applyFont="1" applyFill="1" applyBorder="1"/>
    <xf numFmtId="169" fontId="11" fillId="3" borderId="17" xfId="0" applyNumberFormat="1" applyFont="1" applyFill="1" applyBorder="1" applyAlignment="1">
      <alignment horizontal="right" vertical="center"/>
    </xf>
    <xf numFmtId="0" fontId="10" fillId="5" borderId="4" xfId="0" applyFont="1" applyFill="1" applyBorder="1" applyAlignment="1">
      <alignment horizontal="left"/>
    </xf>
    <xf numFmtId="171" fontId="10" fillId="5" borderId="5" xfId="0" applyNumberFormat="1" applyFont="1" applyFill="1" applyBorder="1"/>
    <xf numFmtId="0" fontId="22" fillId="0" borderId="0" xfId="0" applyFont="1" applyAlignment="1">
      <alignment horizontal="justify" wrapText="1"/>
    </xf>
  </cellXfs>
  <cellStyles count="6">
    <cellStyle name="Comma" xfId="1" builtinId="3"/>
    <cellStyle name="Currency" xfId="4" builtinId="4"/>
    <cellStyle name="Hyperlink" xfId="5" builtinId="8"/>
    <cellStyle name="Normal" xfId="0" builtinId="0"/>
    <cellStyle name="Normal 2" xfId="3" xr:uid="{A2857D7B-AD23-42E2-8952-F588D7D7E3E8}"/>
    <cellStyle name="Percent" xfId="2" builtinId="5"/>
  </cellStyles>
  <dxfs count="4">
    <dxf>
      <font>
        <color theme="0" tint="-0.14996795556505021"/>
      </font>
      <fill>
        <patternFill>
          <bgColor theme="0"/>
        </patternFill>
      </fill>
      <border>
        <top/>
        <bottom/>
      </border>
    </dxf>
    <dxf>
      <font>
        <color theme="0" tint="-0.14996795556505021"/>
      </font>
      <fill>
        <patternFill>
          <bgColor theme="0"/>
        </patternFill>
      </fill>
      <border>
        <top/>
        <bottom/>
      </border>
    </dxf>
    <dxf>
      <font>
        <color theme="0" tint="-0.14996795556505021"/>
      </font>
      <fill>
        <patternFill>
          <bgColor theme="0"/>
        </patternFill>
      </fill>
      <border>
        <top/>
        <bottom/>
      </border>
    </dxf>
    <dxf>
      <font>
        <color theme="0" tint="-0.14996795556505021"/>
      </font>
      <fill>
        <patternFill>
          <bgColor theme="0"/>
        </patternFill>
      </fill>
      <border>
        <top/>
        <bottom/>
      </border>
    </dxf>
  </dxfs>
  <tableStyles count="0" defaultTableStyle="TableStyleMedium2" defaultPivotStyle="PivotStyleLight16"/>
  <colors>
    <mruColors>
      <color rgb="FFF7F8BA"/>
      <color rgb="FF0432FF"/>
      <color rgb="FF006CBF"/>
      <color rgb="FF005495"/>
      <color rgb="FF59C5D0"/>
      <color rgb="FFEEE9C4"/>
      <color rgb="FF4486BF"/>
      <color rgb="FF79BCE7"/>
      <color rgb="FF4E6461"/>
      <color rgb="FF93A3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95248</xdr:colOff>
      <xdr:row>0</xdr:row>
      <xdr:rowOff>0</xdr:rowOff>
    </xdr:from>
    <xdr:to>
      <xdr:col>2</xdr:col>
      <xdr:colOff>261937</xdr:colOff>
      <xdr:row>6</xdr:row>
      <xdr:rowOff>113892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E891E5-ADF7-8043-BBE1-5BA3F066A0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143"/>
        <a:stretch>
          <a:fillRect/>
        </a:stretch>
      </xdr:blipFill>
      <xdr:spPr>
        <a:xfrm>
          <a:off x="178592" y="0"/>
          <a:ext cx="1714501" cy="1316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eptofnumbers.com/employment/metros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3.v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359A-B125-46BD-BAE6-41020504D415}">
  <dimension ref="B4:K42"/>
  <sheetViews>
    <sheetView showGridLines="0" topLeftCell="A10" zoomScale="95" zoomScaleNormal="95" workbookViewId="0">
      <selection activeCell="U6" sqref="U6"/>
    </sheetView>
  </sheetViews>
  <sheetFormatPr defaultColWidth="8.85546875" defaultRowHeight="15"/>
  <cols>
    <col min="1" max="1" width="1.28515625" customWidth="1"/>
  </cols>
  <sheetData>
    <row r="4" spans="2:11">
      <c r="B4" s="3"/>
    </row>
    <row r="6" spans="2:11" ht="23.25">
      <c r="B6" s="138" t="s">
        <v>71</v>
      </c>
      <c r="C6" s="139"/>
      <c r="D6" s="139"/>
      <c r="E6" s="139"/>
      <c r="F6" s="247"/>
      <c r="G6" s="139"/>
      <c r="H6" s="139"/>
      <c r="I6" s="139"/>
      <c r="J6" s="139"/>
      <c r="K6" s="139"/>
    </row>
    <row r="7" spans="2:11" ht="23.25">
      <c r="B7" s="141" t="s">
        <v>76</v>
      </c>
      <c r="C7" s="139"/>
      <c r="D7" s="139"/>
      <c r="E7" s="139"/>
      <c r="F7" s="139"/>
      <c r="G7" s="139"/>
      <c r="H7" s="139"/>
      <c r="I7" s="139"/>
      <c r="J7" s="139"/>
      <c r="K7" s="139"/>
    </row>
    <row r="8" spans="2:11" ht="24" customHeight="1">
      <c r="B8" s="254" t="s">
        <v>78</v>
      </c>
      <c r="C8" s="254"/>
      <c r="D8" s="254"/>
      <c r="E8" s="254"/>
      <c r="F8" s="254"/>
      <c r="G8" s="254"/>
      <c r="H8" s="254"/>
      <c r="I8" s="254"/>
      <c r="J8" s="254"/>
      <c r="K8" s="254"/>
    </row>
    <row r="9" spans="2:11" ht="23.25">
      <c r="B9" s="140"/>
      <c r="C9" s="139"/>
      <c r="D9" s="139"/>
      <c r="E9" s="139"/>
      <c r="F9" s="139"/>
      <c r="G9" s="139"/>
      <c r="H9" s="139"/>
      <c r="I9" s="139"/>
      <c r="J9" s="139"/>
      <c r="K9" s="139"/>
    </row>
    <row r="10" spans="2:11" ht="23.25">
      <c r="B10" s="141" t="s">
        <v>72</v>
      </c>
      <c r="C10" s="139"/>
      <c r="D10" s="139"/>
      <c r="E10" s="139"/>
      <c r="F10" s="139"/>
      <c r="G10" s="139"/>
      <c r="H10" s="139"/>
      <c r="I10" s="139"/>
      <c r="J10" s="139"/>
      <c r="K10" s="139"/>
    </row>
    <row r="11" spans="2:11" ht="23.25">
      <c r="B11" s="221"/>
      <c r="C11" s="139" t="s">
        <v>73</v>
      </c>
      <c r="D11" s="139"/>
      <c r="E11" s="139"/>
      <c r="F11" s="139"/>
      <c r="G11" s="139"/>
      <c r="H11" s="139"/>
      <c r="I11" s="139"/>
      <c r="J11" s="139"/>
      <c r="K11" s="139"/>
    </row>
    <row r="12" spans="2:11" ht="23.25">
      <c r="B12" s="142"/>
      <c r="C12" s="139" t="s">
        <v>75</v>
      </c>
      <c r="D12" s="139"/>
      <c r="E12" s="139"/>
      <c r="F12" s="139"/>
      <c r="G12" s="139"/>
      <c r="H12" s="139"/>
      <c r="I12" s="139"/>
      <c r="J12" s="139"/>
      <c r="K12" s="139"/>
    </row>
    <row r="13" spans="2:11" ht="23.25">
      <c r="B13" s="143"/>
      <c r="C13" s="139" t="s">
        <v>74</v>
      </c>
      <c r="D13" s="139"/>
      <c r="E13" s="139"/>
      <c r="F13" s="139"/>
      <c r="G13" s="139"/>
      <c r="H13" s="139"/>
      <c r="I13" s="139"/>
      <c r="J13" s="139"/>
      <c r="K13" s="139"/>
    </row>
    <row r="14" spans="2:11" ht="23.25"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2:11" ht="23.25">
      <c r="B15" s="141" t="s">
        <v>79</v>
      </c>
      <c r="C15" s="139"/>
      <c r="D15" s="139"/>
      <c r="E15" s="139"/>
      <c r="F15" s="139"/>
      <c r="G15" s="139"/>
      <c r="H15" s="139"/>
      <c r="I15" s="139"/>
      <c r="J15" s="139"/>
      <c r="K15" s="139"/>
    </row>
    <row r="16" spans="2:11" ht="23.25">
      <c r="B16" s="139" t="s">
        <v>80</v>
      </c>
      <c r="C16" s="139"/>
      <c r="D16" s="139"/>
      <c r="E16" s="139"/>
      <c r="F16" s="139"/>
      <c r="G16" s="139"/>
      <c r="H16" s="139"/>
      <c r="I16" s="139"/>
      <c r="J16" s="139"/>
      <c r="K16" s="139"/>
    </row>
    <row r="17" spans="2:11" ht="23.25">
      <c r="B17" s="139" t="s">
        <v>81</v>
      </c>
      <c r="C17" s="139"/>
      <c r="D17" s="139"/>
      <c r="E17" s="139"/>
      <c r="F17" s="139"/>
      <c r="G17" s="139"/>
      <c r="H17" s="139"/>
      <c r="I17" s="139"/>
      <c r="J17" s="139"/>
      <c r="K17" s="139"/>
    </row>
    <row r="18" spans="2:11" ht="23.25">
      <c r="B18" s="139"/>
      <c r="C18" s="139"/>
      <c r="D18" s="139"/>
      <c r="E18" s="139"/>
      <c r="F18" s="139"/>
      <c r="G18" s="139"/>
      <c r="H18" s="139"/>
      <c r="I18" s="139"/>
      <c r="J18" s="139"/>
      <c r="K18" s="139"/>
    </row>
    <row r="19" spans="2:11" ht="23.25">
      <c r="B19" s="141" t="s">
        <v>82</v>
      </c>
      <c r="C19" s="139"/>
      <c r="D19" s="139"/>
      <c r="E19" s="139"/>
      <c r="F19" s="139"/>
      <c r="G19" s="139"/>
      <c r="H19" s="139"/>
      <c r="I19" s="139"/>
      <c r="J19" s="139"/>
      <c r="K19" s="139"/>
    </row>
    <row r="20" spans="2:11" ht="23.25">
      <c r="B20" s="139" t="s">
        <v>87</v>
      </c>
      <c r="C20" s="139"/>
      <c r="D20" s="139"/>
      <c r="E20" s="139"/>
      <c r="F20" s="139"/>
      <c r="G20" s="139"/>
      <c r="H20" s="139"/>
      <c r="I20" s="139"/>
      <c r="J20" s="139"/>
      <c r="K20" s="139"/>
    </row>
    <row r="21" spans="2:11" ht="23.25">
      <c r="B21" s="139" t="s">
        <v>88</v>
      </c>
      <c r="C21" s="139"/>
      <c r="D21" s="139"/>
      <c r="E21" s="139"/>
      <c r="F21" s="139"/>
      <c r="G21" s="139"/>
      <c r="H21" s="139"/>
      <c r="I21" s="139"/>
      <c r="J21" s="139"/>
      <c r="K21" s="139"/>
    </row>
    <row r="22" spans="2:11" ht="23.25">
      <c r="B22" s="139"/>
      <c r="C22" s="139"/>
      <c r="D22" s="139"/>
      <c r="E22" s="139"/>
      <c r="F22" s="139"/>
      <c r="G22" s="139"/>
      <c r="H22" s="139"/>
      <c r="I22" s="139"/>
      <c r="J22" s="139"/>
      <c r="K22" s="139"/>
    </row>
    <row r="23" spans="2:11" ht="23.25">
      <c r="B23" s="141" t="s">
        <v>84</v>
      </c>
      <c r="C23" s="139"/>
      <c r="D23" s="139"/>
      <c r="E23" s="139"/>
      <c r="F23" s="139"/>
      <c r="G23" s="139"/>
      <c r="H23" s="139"/>
      <c r="I23" s="139"/>
      <c r="J23" s="139"/>
      <c r="K23" s="139"/>
    </row>
    <row r="24" spans="2:11" ht="23.25">
      <c r="B24" s="139" t="s">
        <v>83</v>
      </c>
      <c r="C24" s="139"/>
      <c r="D24" s="139"/>
      <c r="E24" s="139"/>
      <c r="F24" s="139"/>
      <c r="G24" s="139"/>
      <c r="H24" s="139"/>
      <c r="I24" s="139"/>
      <c r="J24" s="139"/>
      <c r="K24" s="139"/>
    </row>
    <row r="25" spans="2:11" ht="23.25">
      <c r="B25" s="139"/>
      <c r="C25" s="139"/>
      <c r="D25" s="139"/>
      <c r="E25" s="139"/>
      <c r="F25" s="139"/>
      <c r="G25" s="139"/>
      <c r="H25" s="139"/>
      <c r="I25" s="139"/>
      <c r="J25" s="139"/>
      <c r="K25" s="139"/>
    </row>
    <row r="26" spans="2:11" ht="23.25">
      <c r="B26" s="141" t="s">
        <v>85</v>
      </c>
      <c r="C26" s="139"/>
      <c r="D26" s="139"/>
      <c r="E26" s="139"/>
      <c r="F26" s="139"/>
      <c r="G26" s="139"/>
      <c r="H26" s="139"/>
      <c r="I26" s="139"/>
      <c r="J26" s="139"/>
      <c r="K26" s="139"/>
    </row>
    <row r="27" spans="2:11" ht="23.25">
      <c r="B27" s="139" t="s">
        <v>138</v>
      </c>
      <c r="C27" s="139"/>
      <c r="D27" s="139"/>
      <c r="E27" s="139"/>
      <c r="F27" s="139"/>
      <c r="G27" s="139"/>
      <c r="H27" s="139"/>
      <c r="I27" s="139"/>
      <c r="J27" s="139"/>
      <c r="K27" s="139"/>
    </row>
    <row r="28" spans="2:11" ht="23.25">
      <c r="B28" s="139"/>
      <c r="C28" s="139"/>
      <c r="D28" s="139"/>
      <c r="E28" s="139"/>
      <c r="F28" s="139"/>
      <c r="G28" s="139"/>
      <c r="H28" s="139"/>
      <c r="I28" s="139"/>
      <c r="J28" s="139"/>
      <c r="K28" s="139"/>
    </row>
    <row r="29" spans="2:11" ht="23.25">
      <c r="B29" s="141" t="s">
        <v>91</v>
      </c>
      <c r="C29" s="139"/>
      <c r="D29" s="139"/>
      <c r="E29" s="139"/>
      <c r="F29" s="139"/>
      <c r="G29" s="139"/>
      <c r="H29" s="139"/>
      <c r="I29" s="139"/>
      <c r="J29" s="139"/>
      <c r="K29" s="139"/>
    </row>
    <row r="30" spans="2:11" ht="23.25">
      <c r="B30" s="139" t="s">
        <v>139</v>
      </c>
      <c r="C30" s="139"/>
      <c r="D30" s="139"/>
      <c r="E30" s="139"/>
      <c r="F30" s="139"/>
      <c r="G30" s="139"/>
      <c r="H30" s="139"/>
      <c r="I30" s="139"/>
      <c r="J30" s="139"/>
      <c r="K30" s="139"/>
    </row>
    <row r="31" spans="2:11" ht="23.25">
      <c r="B31" s="139"/>
      <c r="C31" s="139"/>
      <c r="D31" s="139"/>
      <c r="E31" s="139"/>
      <c r="F31" s="139"/>
      <c r="G31" s="139"/>
      <c r="H31" s="139"/>
      <c r="I31" s="139"/>
      <c r="J31" s="139"/>
      <c r="K31" s="139"/>
    </row>
    <row r="32" spans="2:11" ht="23.25">
      <c r="B32" s="141" t="s">
        <v>141</v>
      </c>
      <c r="C32" s="139"/>
      <c r="D32" s="139"/>
      <c r="E32" s="139"/>
      <c r="F32" s="139"/>
      <c r="G32" s="139"/>
      <c r="H32" s="139"/>
      <c r="I32" s="139"/>
      <c r="J32" s="139"/>
      <c r="K32" s="139"/>
    </row>
    <row r="33" spans="2:11" ht="23.25">
      <c r="B33" s="139" t="s">
        <v>140</v>
      </c>
      <c r="C33" s="139"/>
      <c r="D33" s="139"/>
      <c r="E33" s="139"/>
      <c r="F33" s="139"/>
      <c r="G33" s="139"/>
      <c r="H33" s="139"/>
      <c r="I33" s="139"/>
      <c r="J33" s="139"/>
      <c r="K33" s="139"/>
    </row>
    <row r="34" spans="2:11" ht="23.25">
      <c r="B34" s="139"/>
      <c r="C34" s="139"/>
      <c r="D34" s="139"/>
      <c r="E34" s="139"/>
      <c r="F34" s="139"/>
      <c r="G34" s="139"/>
      <c r="H34" s="139"/>
      <c r="I34" s="139"/>
      <c r="J34" s="139"/>
      <c r="K34" s="139"/>
    </row>
    <row r="35" spans="2:11" ht="23.25">
      <c r="B35" s="141" t="s">
        <v>142</v>
      </c>
      <c r="C35" s="139"/>
      <c r="D35" s="139"/>
      <c r="E35" s="139"/>
      <c r="F35" s="139"/>
      <c r="G35" s="139"/>
      <c r="H35" s="139"/>
      <c r="I35" s="139"/>
      <c r="J35" s="139"/>
      <c r="K35" s="139"/>
    </row>
    <row r="36" spans="2:11" ht="23.25">
      <c r="B36" s="139" t="s">
        <v>92</v>
      </c>
      <c r="C36" s="139"/>
      <c r="D36" s="139"/>
      <c r="E36" s="139"/>
      <c r="F36" s="139"/>
      <c r="G36" s="139"/>
      <c r="H36" s="139"/>
      <c r="I36" s="139"/>
      <c r="J36" s="139"/>
      <c r="K36" s="139"/>
    </row>
    <row r="37" spans="2:11" ht="23.25">
      <c r="B37" s="139" t="s">
        <v>93</v>
      </c>
      <c r="C37" s="139"/>
      <c r="D37" s="139"/>
      <c r="E37" s="139"/>
      <c r="F37" s="139"/>
      <c r="G37" s="139"/>
      <c r="H37" s="139"/>
      <c r="I37" s="139"/>
      <c r="J37" s="139"/>
      <c r="K37" s="139"/>
    </row>
    <row r="38" spans="2:11" ht="23.25">
      <c r="B38" s="139"/>
      <c r="C38" s="139"/>
      <c r="D38" s="139"/>
      <c r="E38" s="139"/>
      <c r="F38" s="139"/>
      <c r="G38" s="139"/>
      <c r="H38" s="139"/>
      <c r="I38" s="139"/>
      <c r="J38" s="139"/>
      <c r="K38" s="139"/>
    </row>
    <row r="39" spans="2:11" ht="23.25">
      <c r="B39" s="144"/>
      <c r="C39" s="139"/>
      <c r="D39" s="139"/>
      <c r="E39" s="139"/>
      <c r="F39" s="139"/>
      <c r="G39" s="139"/>
      <c r="H39" s="139"/>
      <c r="I39" s="139"/>
      <c r="J39" s="139"/>
      <c r="K39" s="139"/>
    </row>
    <row r="40" spans="2:11" ht="23.25">
      <c r="B40" s="139"/>
      <c r="C40" s="139"/>
      <c r="D40" s="139"/>
      <c r="E40" s="139"/>
      <c r="F40" s="139"/>
      <c r="G40" s="139"/>
      <c r="H40" s="139"/>
      <c r="I40" s="139"/>
      <c r="J40" s="139"/>
      <c r="K40" s="139"/>
    </row>
    <row r="41" spans="2:11" ht="23.25">
      <c r="B41" s="139"/>
      <c r="C41" s="139"/>
      <c r="D41" s="139"/>
      <c r="E41" s="139"/>
      <c r="F41" s="139"/>
      <c r="G41" s="139"/>
      <c r="H41" s="139"/>
      <c r="I41" s="139"/>
      <c r="J41" s="139"/>
      <c r="K41" s="139"/>
    </row>
    <row r="42" spans="2:11" ht="23.25">
      <c r="B42" s="139"/>
      <c r="C42" s="139"/>
      <c r="D42" s="139"/>
      <c r="E42" s="139"/>
      <c r="F42" s="139"/>
      <c r="G42" s="139"/>
      <c r="H42" s="139"/>
      <c r="I42" s="139"/>
      <c r="J42" s="139"/>
      <c r="K42" s="139"/>
    </row>
  </sheetData>
  <mergeCells count="1">
    <mergeCell ref="B8:K8"/>
  </mergeCells>
  <pageMargins left="0.7" right="0.7" top="0.75" bottom="0.75" header="0.3" footer="0.3"/>
  <pageSetup orientation="portrait" r:id="rId1"/>
  <headerFooter>
    <oddFooter>&amp;L&amp;G&amp;Cwww.bullpenanalysisservices.com&amp;R&amp;P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B783E-4A89-4C5D-B048-1C2ECAED1266}">
  <sheetPr codeName="Sheet1"/>
  <dimension ref="A1:AO112"/>
  <sheetViews>
    <sheetView showGridLines="0" tabSelected="1" zoomScale="80" zoomScaleNormal="80" workbookViewId="0">
      <pane ySplit="7" topLeftCell="A22" activePane="bottomLeft" state="frozen"/>
      <selection pane="bottomLeft" activeCell="O5" sqref="O5"/>
    </sheetView>
  </sheetViews>
  <sheetFormatPr defaultColWidth="9.140625" defaultRowHeight="15" customHeight="1" outlineLevelRow="1" outlineLevelCol="1"/>
  <cols>
    <col min="1" max="1" width="1.28515625" style="1" customWidth="1"/>
    <col min="2" max="2" width="23.140625" style="1" customWidth="1"/>
    <col min="3" max="3" width="16.7109375" style="1" customWidth="1"/>
    <col min="4" max="4" width="15.28515625" style="1" customWidth="1"/>
    <col min="5" max="5" width="2" style="1" customWidth="1"/>
    <col min="6" max="6" width="13.28515625" style="1" customWidth="1"/>
    <col min="7" max="7" width="1.140625" style="1" customWidth="1"/>
    <col min="8" max="8" width="13" style="1" customWidth="1"/>
    <col min="9" max="9" width="16.85546875" style="1" customWidth="1"/>
    <col min="10" max="10" width="17.42578125" style="1" bestFit="1" customWidth="1"/>
    <col min="11" max="11" width="21.42578125" style="1" customWidth="1"/>
    <col min="12" max="12" width="10.85546875" style="1" customWidth="1"/>
    <col min="13" max="13" width="10.85546875" style="129" customWidth="1" outlineLevel="1"/>
    <col min="14" max="14" width="11.85546875" style="129" customWidth="1" outlineLevel="1"/>
    <col min="15" max="22" width="13.42578125" style="129" customWidth="1" outlineLevel="1"/>
    <col min="23" max="23" width="15" style="129" customWidth="1" outlineLevel="1"/>
    <col min="24" max="26" width="13.42578125" style="129" customWidth="1" outlineLevel="1"/>
    <col min="27" max="27" width="9.140625" style="129" customWidth="1"/>
    <col min="28" max="28" width="9.140625" style="129"/>
    <col min="29" max="16384" width="9.140625" style="1"/>
  </cols>
  <sheetData>
    <row r="1" spans="2:39" ht="15" customHeight="1">
      <c r="F1" s="102"/>
      <c r="G1" s="103"/>
      <c r="H1" s="103"/>
      <c r="I1" s="103"/>
      <c r="J1" s="104"/>
      <c r="K1" s="104"/>
      <c r="L1" s="101"/>
      <c r="AG1" s="6"/>
    </row>
    <row r="2" spans="2:39" ht="15" customHeight="1">
      <c r="F2" s="109"/>
      <c r="G2" s="109"/>
      <c r="H2" s="107"/>
      <c r="I2" s="154"/>
      <c r="J2" s="154"/>
      <c r="K2" s="191" t="s">
        <v>96</v>
      </c>
      <c r="L2" s="101"/>
      <c r="AC2"/>
      <c r="AD2"/>
      <c r="AE2"/>
    </row>
    <row r="3" spans="2:39" ht="15" customHeight="1">
      <c r="F3" s="101"/>
      <c r="G3" s="101"/>
      <c r="H3" s="107"/>
      <c r="I3" s="107"/>
      <c r="J3" s="107"/>
      <c r="L3" s="101"/>
    </row>
    <row r="4" spans="2:39" ht="20.100000000000001" customHeight="1">
      <c r="F4" s="179"/>
      <c r="G4" s="180"/>
      <c r="H4" s="181" t="s">
        <v>111</v>
      </c>
      <c r="I4" s="181" t="s">
        <v>44</v>
      </c>
      <c r="J4" s="181" t="s">
        <v>61</v>
      </c>
      <c r="K4" s="182" t="s">
        <v>110</v>
      </c>
      <c r="L4" s="101"/>
    </row>
    <row r="5" spans="2:39" ht="15" customHeight="1">
      <c r="F5" s="183" t="s">
        <v>43</v>
      </c>
      <c r="G5" s="109"/>
      <c r="H5" s="155">
        <f>IFERROR(AVERAGE(P71:Z71),"-")</f>
        <v>0.10106027934702</v>
      </c>
      <c r="I5" s="155">
        <f>O77</f>
        <v>0.29232500251916105</v>
      </c>
      <c r="J5" s="156">
        <f>IFERROR(SUM(P76:Y76)/-O76,"-")</f>
        <v>4.0781960328017082</v>
      </c>
      <c r="K5" s="184">
        <f>IFERROR((SUM(P76:Y76,O76)/-O76)/$D$15,"-")</f>
        <v>0.51303267213361803</v>
      </c>
      <c r="L5" s="101"/>
    </row>
    <row r="6" spans="2:39" ht="15" customHeight="1">
      <c r="D6" s="224"/>
      <c r="F6" s="185" t="s">
        <v>39</v>
      </c>
      <c r="G6" s="186"/>
      <c r="H6" s="187">
        <f>IFERROR(AVERAGE(P91:Y91),"-")</f>
        <v>9.4338565647684391E-2</v>
      </c>
      <c r="I6" s="188">
        <f>O92</f>
        <v>0.24620249109276227</v>
      </c>
      <c r="J6" s="189">
        <f>IFERROR(SUM(P90:Y90)/-O90,"-")</f>
        <v>3.3043880414944113</v>
      </c>
      <c r="K6" s="190">
        <f>IFERROR((SUM(P90:Y90,O90)/-O90)/$D$15,"-")</f>
        <v>0.38406467358240187</v>
      </c>
      <c r="L6" s="101"/>
    </row>
    <row r="7" spans="2:39" ht="9" customHeight="1">
      <c r="F7" s="94"/>
      <c r="G7" s="101"/>
      <c r="H7" s="101"/>
      <c r="I7" s="110"/>
      <c r="J7" s="109"/>
      <c r="K7" s="126"/>
      <c r="L7" s="101"/>
      <c r="Y7" s="2"/>
      <c r="Z7" s="2"/>
    </row>
    <row r="9" spans="2:39" s="6" customFormat="1" ht="15" customHeight="1">
      <c r="B9" s="57" t="s">
        <v>18</v>
      </c>
      <c r="C9" s="58"/>
      <c r="D9" s="59"/>
      <c r="E9" s="5"/>
      <c r="F9" s="57" t="s">
        <v>106</v>
      </c>
      <c r="G9" s="60"/>
      <c r="H9" s="60"/>
      <c r="I9" s="60"/>
      <c r="J9" s="58"/>
      <c r="K9" s="59"/>
      <c r="M9" s="6" t="s">
        <v>62</v>
      </c>
      <c r="AA9" s="6" t="s">
        <v>62</v>
      </c>
    </row>
    <row r="10" spans="2:39" customFormat="1" ht="15" customHeight="1">
      <c r="B10" s="68" t="s">
        <v>63</v>
      </c>
      <c r="C10" s="69"/>
      <c r="D10" s="70"/>
      <c r="F10" s="11"/>
      <c r="J10" s="8" t="s">
        <v>7</v>
      </c>
      <c r="K10" s="9">
        <f>D15</f>
        <v>6</v>
      </c>
      <c r="M10" s="6"/>
      <c r="N10" s="6"/>
      <c r="O10" s="31">
        <v>0</v>
      </c>
      <c r="P10" s="31">
        <f>O10+1</f>
        <v>1</v>
      </c>
      <c r="Q10" s="31">
        <f>P10+1</f>
        <v>2</v>
      </c>
      <c r="R10" s="31">
        <f t="shared" ref="R10" si="0">Q10+1</f>
        <v>3</v>
      </c>
      <c r="S10" s="31">
        <f t="shared" ref="S10" si="1">R10+1</f>
        <v>4</v>
      </c>
      <c r="T10" s="31">
        <f t="shared" ref="T10" si="2">S10+1</f>
        <v>5</v>
      </c>
      <c r="U10" s="31">
        <f t="shared" ref="U10" si="3">T10+1</f>
        <v>6</v>
      </c>
      <c r="V10" s="31">
        <f t="shared" ref="V10" si="4">U10+1</f>
        <v>7</v>
      </c>
      <c r="W10" s="31">
        <f t="shared" ref="W10" si="5">V10+1</f>
        <v>8</v>
      </c>
      <c r="X10" s="31">
        <f t="shared" ref="X10" si="6">W10+1</f>
        <v>9</v>
      </c>
      <c r="Y10" s="31">
        <f t="shared" ref="Y10" si="7">X10+1</f>
        <v>10</v>
      </c>
      <c r="AA10" s="6"/>
      <c r="AB10" s="6"/>
    </row>
    <row r="11" spans="2:39" customFormat="1" ht="15" customHeight="1">
      <c r="B11" s="71" t="s">
        <v>0</v>
      </c>
      <c r="C11" s="198"/>
      <c r="D11" s="217">
        <v>2150000</v>
      </c>
      <c r="E11" s="10"/>
      <c r="F11" s="24" t="s">
        <v>94</v>
      </c>
      <c r="G11" s="6"/>
      <c r="H11" s="6"/>
      <c r="I11" s="25"/>
      <c r="J11" s="25">
        <f>IFERROR(K11/$C$41,0)</f>
        <v>171339.79829218355</v>
      </c>
      <c r="K11" s="14">
        <f>IFERROR(INDEX($P11:$Y11,,MATCH(K$10,$P$10:$Y$10,0)),0)</f>
        <v>5482873.5453498736</v>
      </c>
      <c r="M11" s="6"/>
      <c r="N11" s="6"/>
      <c r="O11" s="6"/>
      <c r="P11" s="28">
        <f t="shared" ref="P11:Y11" si="8">IFERROR(Q64/$D$16,0)</f>
        <v>4031734.7099263803</v>
      </c>
      <c r="Q11" s="28">
        <f t="shared" si="8"/>
        <v>4408925.6358817173</v>
      </c>
      <c r="R11" s="28">
        <f t="shared" si="8"/>
        <v>4809627.8380175997</v>
      </c>
      <c r="S11" s="28">
        <f t="shared" si="8"/>
        <v>5024633.7117107045</v>
      </c>
      <c r="T11" s="28">
        <f t="shared" si="8"/>
        <v>5248918.4431567052</v>
      </c>
      <c r="U11" s="28">
        <f t="shared" si="8"/>
        <v>5482873.5453498736</v>
      </c>
      <c r="V11" s="28">
        <f t="shared" si="8"/>
        <v>5726906.8025647756</v>
      </c>
      <c r="W11" s="28">
        <f t="shared" si="8"/>
        <v>5981442.939530299</v>
      </c>
      <c r="X11" s="28">
        <f t="shared" si="8"/>
        <v>6246924.3179203318</v>
      </c>
      <c r="Y11" s="28">
        <f t="shared" si="8"/>
        <v>6523811.6612702329</v>
      </c>
      <c r="AA11" s="6"/>
      <c r="AB11" s="145"/>
      <c r="AK11" s="148"/>
      <c r="AL11" s="148"/>
      <c r="AM11" s="148"/>
    </row>
    <row r="12" spans="2:39" customFormat="1" ht="15" customHeight="1">
      <c r="B12" s="71" t="s">
        <v>70</v>
      </c>
      <c r="C12" s="198"/>
      <c r="D12" s="218">
        <f>IFERROR(I64/D11,0)</f>
        <v>8.2694148837209297E-2</v>
      </c>
      <c r="E12" s="10"/>
      <c r="F12" s="11"/>
      <c r="K12" s="19"/>
      <c r="M12" s="6"/>
      <c r="N12" s="6"/>
      <c r="AA12" s="6"/>
      <c r="AB12" s="146"/>
    </row>
    <row r="13" spans="2:39" customFormat="1" ht="15" customHeight="1">
      <c r="B13" s="71" t="s">
        <v>15</v>
      </c>
      <c r="C13" s="244">
        <v>3.7499999999999999E-2</v>
      </c>
      <c r="D13" s="219">
        <f>D11*C13</f>
        <v>80625</v>
      </c>
      <c r="E13" s="10"/>
      <c r="F13" s="11" t="s">
        <v>21</v>
      </c>
      <c r="G13" s="6"/>
      <c r="H13" s="6"/>
      <c r="I13" s="25"/>
      <c r="J13" s="25">
        <f>IFERROR(K13/$C$41,0)</f>
        <v>-6853.5919316873424</v>
      </c>
      <c r="K13" s="14">
        <f>IFERROR(INDEX($P13:$Y13,,MATCH(K$10,$P$10:$Y$10,0)),0)</f>
        <v>-219314.94181399496</v>
      </c>
      <c r="M13" s="6"/>
      <c r="N13" s="6"/>
      <c r="P13" s="28">
        <f t="shared" ref="P13:Y13" si="9">IFERROR(-$D$17*P11,0)</f>
        <v>-161269.38839705521</v>
      </c>
      <c r="Q13" s="28">
        <f t="shared" si="9"/>
        <v>-176357.0254352687</v>
      </c>
      <c r="R13" s="28">
        <f t="shared" si="9"/>
        <v>-192385.11352070398</v>
      </c>
      <c r="S13" s="28">
        <f t="shared" si="9"/>
        <v>-200985.34846842819</v>
      </c>
      <c r="T13" s="28">
        <f t="shared" si="9"/>
        <v>-209956.73772626821</v>
      </c>
      <c r="U13" s="28">
        <f t="shared" si="9"/>
        <v>-219314.94181399496</v>
      </c>
      <c r="V13" s="28">
        <f t="shared" si="9"/>
        <v>-229076.27210259103</v>
      </c>
      <c r="W13" s="28">
        <f t="shared" si="9"/>
        <v>-239257.71758121197</v>
      </c>
      <c r="X13" s="28">
        <f t="shared" si="9"/>
        <v>-249876.97271681327</v>
      </c>
      <c r="Y13" s="28">
        <f t="shared" si="9"/>
        <v>-260952.46645080933</v>
      </c>
      <c r="AA13" s="6"/>
      <c r="AB13" s="146"/>
      <c r="AK13" s="6"/>
      <c r="AL13" s="6"/>
      <c r="AM13" s="25"/>
    </row>
    <row r="14" spans="2:39" customFormat="1" ht="15" customHeight="1">
      <c r="B14" s="71" t="s">
        <v>98</v>
      </c>
      <c r="C14" s="241">
        <v>675</v>
      </c>
      <c r="D14" s="220">
        <f>C14*C41</f>
        <v>21600</v>
      </c>
      <c r="E14" s="15"/>
      <c r="F14" s="24" t="s">
        <v>16</v>
      </c>
      <c r="J14" s="25">
        <f>IFERROR(K14/$C$41,0)</f>
        <v>0</v>
      </c>
      <c r="K14" s="14">
        <f>IFERROR(INDEX($P14:$Y14,,MATCH(K$10,$P$10:$Y$10,0)),0)</f>
        <v>0</v>
      </c>
      <c r="M14" s="6"/>
      <c r="N14" s="6"/>
      <c r="O14" s="6"/>
      <c r="P14" s="28">
        <f t="shared" ref="P14:Y14" si="10">IFERROR(-$C$57*P11,0)</f>
        <v>0</v>
      </c>
      <c r="Q14" s="28">
        <f t="shared" si="10"/>
        <v>0</v>
      </c>
      <c r="R14" s="28">
        <f t="shared" si="10"/>
        <v>0</v>
      </c>
      <c r="S14" s="28">
        <f t="shared" si="10"/>
        <v>0</v>
      </c>
      <c r="T14" s="28">
        <f t="shared" si="10"/>
        <v>0</v>
      </c>
      <c r="U14" s="28">
        <f t="shared" si="10"/>
        <v>0</v>
      </c>
      <c r="V14" s="28">
        <f t="shared" si="10"/>
        <v>0</v>
      </c>
      <c r="W14" s="28">
        <f t="shared" si="10"/>
        <v>0</v>
      </c>
      <c r="X14" s="28">
        <f t="shared" si="10"/>
        <v>0</v>
      </c>
      <c r="Y14" s="28">
        <f t="shared" si="10"/>
        <v>0</v>
      </c>
      <c r="AA14" s="6"/>
      <c r="AB14" s="146"/>
      <c r="AK14" s="6"/>
      <c r="AL14" s="6"/>
      <c r="AM14" s="25"/>
    </row>
    <row r="15" spans="2:39" customFormat="1" ht="15" customHeight="1">
      <c r="B15" s="71" t="s">
        <v>48</v>
      </c>
      <c r="C15" s="198"/>
      <c r="D15" s="221">
        <v>6</v>
      </c>
      <c r="E15" s="18"/>
      <c r="F15" s="11" t="s">
        <v>38</v>
      </c>
      <c r="J15" s="34">
        <f>IFERROR(K15/$C$41,0)</f>
        <v>-48142.324696231604</v>
      </c>
      <c r="K15" s="17">
        <f>IFERROR(INDEX($P15:$Y15,,MATCH(K$10,$P$10:$Y$10,0)),0)</f>
        <v>-1540554.3902794113</v>
      </c>
      <c r="M15" s="6"/>
      <c r="N15" s="6"/>
      <c r="O15" s="6"/>
      <c r="P15" s="131">
        <f t="shared" ref="P15:Y15" si="11">IFERROR(-PV($D$46/12,$D$47*12-MAX(P$43-$D$48,0)*12,PMT($D$46/12,$D$47*12,$D$45)),0)</f>
        <v>-1612500.0000000156</v>
      </c>
      <c r="Q15" s="131">
        <f t="shared" si="11"/>
        <v>-1612500.0000000156</v>
      </c>
      <c r="R15" s="131">
        <f t="shared" si="11"/>
        <v>-1612500.0000000156</v>
      </c>
      <c r="S15" s="131">
        <f t="shared" si="11"/>
        <v>-1589762.8966988653</v>
      </c>
      <c r="T15" s="131">
        <f t="shared" si="11"/>
        <v>-1565802.9490834621</v>
      </c>
      <c r="U15" s="131">
        <f t="shared" si="11"/>
        <v>-1540554.3902794113</v>
      </c>
      <c r="V15" s="131">
        <f t="shared" si="11"/>
        <v>-1513947.9163457295</v>
      </c>
      <c r="W15" s="131">
        <f t="shared" si="11"/>
        <v>-1485910.4960447289</v>
      </c>
      <c r="X15" s="131">
        <f t="shared" si="11"/>
        <v>-1456365.17038097</v>
      </c>
      <c r="Y15" s="131">
        <f t="shared" si="11"/>
        <v>-1425230.8413590367</v>
      </c>
      <c r="AA15" s="6"/>
    </row>
    <row r="16" spans="2:39" customFormat="1" ht="15" customHeight="1">
      <c r="B16" s="71" t="s">
        <v>97</v>
      </c>
      <c r="C16" s="198"/>
      <c r="D16" s="200">
        <v>0.05</v>
      </c>
      <c r="E16" s="6"/>
      <c r="F16" s="24" t="s">
        <v>10</v>
      </c>
      <c r="J16" s="25">
        <f>IFERROR(K16/$C$41,0)</f>
        <v>116343.8816642646</v>
      </c>
      <c r="K16" s="14">
        <f>IFERROR(INDEX($P16:$Y16,,MATCH(K$10,$P$10:$Y$10,0)),0)</f>
        <v>3723004.2132564671</v>
      </c>
      <c r="M16" s="6"/>
      <c r="N16" s="6"/>
      <c r="O16" s="6"/>
      <c r="P16" s="28">
        <f t="shared" ref="P16:Y16" si="12">SUM(P11,P13:P15)</f>
        <v>2257965.3215293093</v>
      </c>
      <c r="Q16" s="28">
        <f t="shared" si="12"/>
        <v>2620068.6104464326</v>
      </c>
      <c r="R16" s="28">
        <f t="shared" si="12"/>
        <v>3004742.7244968796</v>
      </c>
      <c r="S16" s="28">
        <f t="shared" si="12"/>
        <v>3233885.4665434109</v>
      </c>
      <c r="T16" s="28">
        <f t="shared" si="12"/>
        <v>3473158.7563469745</v>
      </c>
      <c r="U16" s="28">
        <f t="shared" si="12"/>
        <v>3723004.2132564671</v>
      </c>
      <c r="V16" s="28">
        <f t="shared" si="12"/>
        <v>3983882.6141164554</v>
      </c>
      <c r="W16" s="28">
        <f t="shared" si="12"/>
        <v>4256274.7259043586</v>
      </c>
      <c r="X16" s="28">
        <f t="shared" si="12"/>
        <v>4540682.1748225484</v>
      </c>
      <c r="Y16" s="28">
        <f t="shared" si="12"/>
        <v>4837628.3534603864</v>
      </c>
      <c r="AA16" s="6"/>
    </row>
    <row r="17" spans="2:41" s="6" customFormat="1" ht="15" customHeight="1">
      <c r="B17" s="71" t="s">
        <v>65</v>
      </c>
      <c r="C17" s="198"/>
      <c r="D17" s="200">
        <v>0.04</v>
      </c>
      <c r="E17" s="20"/>
      <c r="F17" s="24"/>
      <c r="K17" s="21"/>
      <c r="L17"/>
      <c r="AB17" s="146"/>
      <c r="AK17"/>
      <c r="AL17"/>
      <c r="AM17"/>
    </row>
    <row r="18" spans="2:41" customFormat="1" ht="15" customHeight="1">
      <c r="B18" s="71"/>
      <c r="C18" s="198"/>
      <c r="D18" s="222"/>
      <c r="E18" s="20"/>
      <c r="F18" s="11"/>
      <c r="H18" s="157" t="s">
        <v>6</v>
      </c>
      <c r="I18" s="158" t="s">
        <v>108</v>
      </c>
      <c r="J18" s="158" t="s">
        <v>109</v>
      </c>
      <c r="K18" s="159" t="s">
        <v>3</v>
      </c>
      <c r="M18" s="6"/>
      <c r="AA18" s="6"/>
    </row>
    <row r="19" spans="2:41" customFormat="1" ht="15" customHeight="1">
      <c r="B19" s="72" t="s">
        <v>64</v>
      </c>
      <c r="C19" s="199"/>
      <c r="D19" s="207"/>
      <c r="E19" s="22"/>
      <c r="F19" s="24" t="s">
        <v>39</v>
      </c>
      <c r="H19" s="161">
        <f>IFERROR(K19/SUM($K$19:$K$20),"-")</f>
        <v>0.81025728408261588</v>
      </c>
      <c r="I19" s="12">
        <f>SUM(P88:Y88)</f>
        <v>606980.93507679668</v>
      </c>
      <c r="J19" s="12">
        <f>SUM(P89:Y89)</f>
        <v>2936463.0592795275</v>
      </c>
      <c r="K19" s="14">
        <f>SUM(I19:J19)</f>
        <v>3543443.994356324</v>
      </c>
      <c r="L19" s="6"/>
      <c r="M19" s="6"/>
      <c r="AA19" s="6"/>
      <c r="AB19" s="146"/>
    </row>
    <row r="20" spans="2:41" customFormat="1" ht="15" customHeight="1">
      <c r="B20" s="74" t="s">
        <v>30</v>
      </c>
      <c r="C20" s="198"/>
      <c r="D20" s="200">
        <v>0.04</v>
      </c>
      <c r="E20" s="22"/>
      <c r="F20" s="24" t="s">
        <v>107</v>
      </c>
      <c r="G20" s="6"/>
      <c r="H20" s="162">
        <f>IFERROR(K20/SUM($K$19:$K$20),"-")</f>
        <v>0.18974271591738412</v>
      </c>
      <c r="I20" s="25">
        <f>SUM(P74:Y74)-I19</f>
        <v>43247.976461484213</v>
      </c>
      <c r="J20" s="12">
        <f>SUM(P75:Y75)-J19</f>
        <v>786541.15397693962</v>
      </c>
      <c r="K20" s="160">
        <f>SUM(I20:J20)</f>
        <v>829789.13043842383</v>
      </c>
      <c r="L20" s="6"/>
      <c r="M20" s="6"/>
      <c r="AA20" s="6"/>
      <c r="AB20" s="146"/>
    </row>
    <row r="21" spans="2:41" customFormat="1" ht="15" customHeight="1">
      <c r="B21" s="74" t="s">
        <v>37</v>
      </c>
      <c r="C21" s="198"/>
      <c r="D21" s="223">
        <v>0.03</v>
      </c>
      <c r="F21" s="147" t="s">
        <v>133</v>
      </c>
      <c r="G21" s="36"/>
      <c r="H21" s="36"/>
      <c r="I21" s="36"/>
      <c r="J21" s="36"/>
      <c r="K21" s="243">
        <f>K20+SUM(D54:D57)</f>
        <v>918494.04445486702</v>
      </c>
      <c r="L21" s="6"/>
      <c r="M21" s="6"/>
      <c r="AA21" s="6"/>
      <c r="AB21" s="146"/>
      <c r="AJ21" s="26"/>
      <c r="AL21" s="149"/>
      <c r="AM21" s="32"/>
      <c r="AN21" s="35"/>
      <c r="AO21" s="93"/>
    </row>
    <row r="22" spans="2:41" customFormat="1" ht="15" customHeight="1">
      <c r="B22" s="99"/>
      <c r="C22" s="99"/>
      <c r="D22" s="100"/>
      <c r="E22" s="6"/>
      <c r="M22" s="6"/>
      <c r="AA22" s="6"/>
      <c r="AB22" s="146"/>
    </row>
    <row r="23" spans="2:41" customFormat="1" ht="15" customHeight="1">
      <c r="B23" s="57" t="s">
        <v>22</v>
      </c>
      <c r="C23" s="60"/>
      <c r="D23" s="58"/>
      <c r="E23" s="58"/>
      <c r="F23" s="58"/>
      <c r="G23" s="58"/>
      <c r="H23" s="58"/>
      <c r="I23" s="58"/>
      <c r="J23" s="58"/>
      <c r="K23" s="59"/>
      <c r="M23" s="6"/>
      <c r="AA23" s="6"/>
      <c r="AB23" s="146"/>
    </row>
    <row r="24" spans="2:41" customFormat="1" ht="15" customHeight="1">
      <c r="B24" s="68"/>
      <c r="C24" s="83"/>
      <c r="D24" s="83"/>
      <c r="E24" s="83"/>
      <c r="F24" s="83"/>
      <c r="G24" s="69"/>
      <c r="H24" s="83"/>
      <c r="I24" s="83" t="s">
        <v>86</v>
      </c>
      <c r="J24" s="83" t="s">
        <v>117</v>
      </c>
      <c r="K24" s="84" t="s">
        <v>69</v>
      </c>
      <c r="M24" s="6"/>
      <c r="AA24" s="6"/>
      <c r="AB24" s="146"/>
      <c r="AC24" s="6"/>
      <c r="AD24" s="6"/>
      <c r="AE24" s="6"/>
      <c r="AF24" s="6"/>
    </row>
    <row r="25" spans="2:41" customFormat="1" ht="15" customHeight="1">
      <c r="B25" s="85" t="s">
        <v>26</v>
      </c>
      <c r="C25" s="86" t="s">
        <v>27</v>
      </c>
      <c r="D25" s="86" t="s">
        <v>28</v>
      </c>
      <c r="E25" s="86"/>
      <c r="F25" s="86" t="s">
        <v>24</v>
      </c>
      <c r="G25" s="87"/>
      <c r="H25" s="86" t="s">
        <v>25</v>
      </c>
      <c r="I25" s="86" t="s">
        <v>89</v>
      </c>
      <c r="J25" s="86" t="s">
        <v>89</v>
      </c>
      <c r="K25" s="88" t="s">
        <v>90</v>
      </c>
      <c r="L25" s="6"/>
      <c r="M25" s="6"/>
      <c r="AA25" s="6"/>
      <c r="AB25" s="146"/>
    </row>
    <row r="26" spans="2:41" s="6" customFormat="1" ht="15" customHeight="1">
      <c r="B26" s="136" t="s">
        <v>134</v>
      </c>
      <c r="C26" s="61">
        <v>22</v>
      </c>
      <c r="D26" s="62">
        <v>800</v>
      </c>
      <c r="E26" s="62"/>
      <c r="F26" s="63">
        <v>875</v>
      </c>
      <c r="G26" s="64"/>
      <c r="H26" s="63">
        <v>995</v>
      </c>
      <c r="I26" s="61">
        <v>0</v>
      </c>
      <c r="J26" s="63">
        <v>0</v>
      </c>
      <c r="K26" s="89">
        <f>IFERROR(IF((H26+J26)=0,"",H26+J26),"")</f>
        <v>995</v>
      </c>
      <c r="L26"/>
      <c r="AB26" s="146"/>
    </row>
    <row r="27" spans="2:41" s="6" customFormat="1" ht="15" customHeight="1">
      <c r="B27" s="137" t="s">
        <v>135</v>
      </c>
      <c r="C27" s="65">
        <v>10</v>
      </c>
      <c r="D27" s="66">
        <v>800</v>
      </c>
      <c r="E27" s="66"/>
      <c r="F27" s="56">
        <v>700</v>
      </c>
      <c r="G27" s="67"/>
      <c r="H27" s="56">
        <v>745</v>
      </c>
      <c r="I27" s="65">
        <v>45</v>
      </c>
      <c r="J27" s="56">
        <v>175</v>
      </c>
      <c r="K27" s="90">
        <f>IFERROR(IF((H27+J27)=0,"",H27+J27),"")</f>
        <v>920</v>
      </c>
      <c r="L27"/>
      <c r="AE27" s="94"/>
      <c r="AF27" s="94"/>
      <c r="AG27" s="94"/>
      <c r="AH27" s="94"/>
      <c r="AI27" s="94"/>
      <c r="AJ27" s="94"/>
      <c r="AK27" s="94"/>
    </row>
    <row r="28" spans="2:41" s="6" customFormat="1" ht="15" customHeight="1">
      <c r="B28" s="137"/>
      <c r="C28" s="65"/>
      <c r="D28" s="66"/>
      <c r="E28" s="66"/>
      <c r="F28" s="56"/>
      <c r="G28" s="67"/>
      <c r="H28" s="56"/>
      <c r="I28" s="65"/>
      <c r="J28" s="56"/>
      <c r="K28" s="90" t="str">
        <f>IFERROR(IF((H28+J28)=0,"",H28+J28),"")</f>
        <v/>
      </c>
      <c r="L28"/>
      <c r="AE28" s="151"/>
      <c r="AF28" s="151"/>
      <c r="AG28" s="151"/>
      <c r="AH28" s="151"/>
      <c r="AI28" s="104"/>
      <c r="AJ28" s="104"/>
      <c r="AK28" s="94"/>
    </row>
    <row r="29" spans="2:41" s="6" customFormat="1" ht="15" customHeight="1">
      <c r="B29" s="98"/>
      <c r="C29" s="65"/>
      <c r="D29" s="66"/>
      <c r="E29" s="66"/>
      <c r="F29" s="56"/>
      <c r="G29" s="67"/>
      <c r="H29" s="56"/>
      <c r="I29" s="65"/>
      <c r="J29" s="56"/>
      <c r="K29" s="90" t="str">
        <f>IFERROR(IF((H29+J29)=0,"",H29+J29),"")</f>
        <v/>
      </c>
      <c r="AE29" s="119"/>
      <c r="AF29" s="119"/>
      <c r="AG29" s="119"/>
      <c r="AH29" s="119"/>
      <c r="AI29" s="152"/>
      <c r="AJ29" s="152"/>
      <c r="AK29" s="94"/>
    </row>
    <row r="30" spans="2:41" s="6" customFormat="1" ht="15" customHeight="1">
      <c r="B30" s="98"/>
      <c r="C30" s="65"/>
      <c r="D30" s="66"/>
      <c r="E30" s="66"/>
      <c r="F30" s="56"/>
      <c r="G30" s="67"/>
      <c r="H30" s="56"/>
      <c r="I30" s="65"/>
      <c r="J30" s="56"/>
      <c r="K30" s="90" t="str">
        <f t="shared" ref="K30:K40" si="13">IFERROR(IF((H30+J30)=0,"",H30+J30),"")</f>
        <v/>
      </c>
      <c r="AE30" s="94"/>
      <c r="AF30" s="119"/>
      <c r="AG30" s="119"/>
      <c r="AH30" s="119"/>
      <c r="AI30" s="96"/>
      <c r="AJ30" s="114"/>
      <c r="AK30" s="94"/>
    </row>
    <row r="31" spans="2:41" s="6" customFormat="1" ht="15" hidden="1" customHeight="1" outlineLevel="1">
      <c r="B31" s="98"/>
      <c r="C31" s="65"/>
      <c r="D31" s="66"/>
      <c r="E31" s="66"/>
      <c r="F31" s="56"/>
      <c r="G31" s="67"/>
      <c r="H31" s="56"/>
      <c r="I31" s="65"/>
      <c r="J31" s="56"/>
      <c r="K31" s="90" t="str">
        <f t="shared" si="13"/>
        <v/>
      </c>
      <c r="AE31" s="94"/>
      <c r="AF31" s="119"/>
      <c r="AG31" s="119"/>
      <c r="AH31" s="119"/>
      <c r="AI31" s="96"/>
      <c r="AJ31" s="114"/>
      <c r="AK31" s="94"/>
    </row>
    <row r="32" spans="2:41" s="6" customFormat="1" ht="15" hidden="1" customHeight="1" outlineLevel="1">
      <c r="B32" s="98"/>
      <c r="C32" s="65"/>
      <c r="D32" s="66"/>
      <c r="E32" s="66"/>
      <c r="F32" s="56"/>
      <c r="G32" s="67"/>
      <c r="H32" s="56"/>
      <c r="I32" s="65"/>
      <c r="J32" s="56"/>
      <c r="K32" s="90" t="str">
        <f t="shared" si="13"/>
        <v/>
      </c>
      <c r="AE32" s="94"/>
      <c r="AF32" s="119"/>
      <c r="AG32" s="119"/>
      <c r="AH32" s="119"/>
      <c r="AI32" s="96"/>
      <c r="AJ32" s="114"/>
      <c r="AK32" s="94"/>
    </row>
    <row r="33" spans="2:37" s="6" customFormat="1" ht="15" hidden="1" customHeight="1" outlineLevel="1">
      <c r="B33" s="98"/>
      <c r="C33" s="65"/>
      <c r="D33" s="66"/>
      <c r="E33" s="66"/>
      <c r="F33" s="56"/>
      <c r="G33" s="67"/>
      <c r="H33" s="56"/>
      <c r="I33" s="65"/>
      <c r="J33" s="56"/>
      <c r="K33" s="90" t="str">
        <f t="shared" si="13"/>
        <v/>
      </c>
      <c r="AE33" s="94"/>
      <c r="AF33" s="119"/>
      <c r="AG33" s="119"/>
      <c r="AH33" s="119"/>
      <c r="AI33" s="96"/>
      <c r="AJ33" s="114"/>
      <c r="AK33" s="94"/>
    </row>
    <row r="34" spans="2:37" s="6" customFormat="1" ht="15" hidden="1" customHeight="1" outlineLevel="1">
      <c r="B34" s="98"/>
      <c r="C34" s="65"/>
      <c r="D34" s="66"/>
      <c r="E34" s="66"/>
      <c r="F34" s="56"/>
      <c r="G34" s="67"/>
      <c r="H34" s="56"/>
      <c r="I34" s="65"/>
      <c r="J34" s="56"/>
      <c r="K34" s="90" t="str">
        <f t="shared" si="13"/>
        <v/>
      </c>
      <c r="AE34" s="94"/>
      <c r="AF34" s="119"/>
      <c r="AG34" s="119"/>
      <c r="AH34" s="119"/>
      <c r="AI34" s="96"/>
      <c r="AJ34" s="114"/>
      <c r="AK34" s="94"/>
    </row>
    <row r="35" spans="2:37" s="6" customFormat="1" ht="15" hidden="1" customHeight="1" outlineLevel="1">
      <c r="B35" s="98"/>
      <c r="C35" s="65"/>
      <c r="D35" s="66"/>
      <c r="E35" s="66"/>
      <c r="F35" s="56"/>
      <c r="G35" s="67"/>
      <c r="H35" s="56"/>
      <c r="I35" s="65"/>
      <c r="J35" s="56"/>
      <c r="K35" s="90" t="str">
        <f t="shared" si="13"/>
        <v/>
      </c>
      <c r="AE35" s="94"/>
      <c r="AF35" s="119"/>
      <c r="AG35" s="119"/>
      <c r="AH35" s="119"/>
      <c r="AI35" s="96"/>
      <c r="AJ35" s="114"/>
      <c r="AK35" s="94"/>
    </row>
    <row r="36" spans="2:37" s="6" customFormat="1" ht="15" hidden="1" customHeight="1" outlineLevel="1">
      <c r="B36" s="98"/>
      <c r="C36" s="65"/>
      <c r="D36" s="66"/>
      <c r="E36" s="66"/>
      <c r="F36" s="56"/>
      <c r="G36" s="67"/>
      <c r="H36" s="56"/>
      <c r="I36" s="65"/>
      <c r="J36" s="56"/>
      <c r="K36" s="90" t="str">
        <f t="shared" si="13"/>
        <v/>
      </c>
      <c r="AE36" s="94"/>
      <c r="AF36" s="119"/>
      <c r="AG36" s="119"/>
      <c r="AH36" s="119"/>
      <c r="AI36" s="96"/>
      <c r="AJ36" s="114"/>
      <c r="AK36" s="94"/>
    </row>
    <row r="37" spans="2:37" s="6" customFormat="1" ht="15" hidden="1" customHeight="1" outlineLevel="1">
      <c r="B37" s="98"/>
      <c r="C37" s="65"/>
      <c r="D37" s="66"/>
      <c r="E37" s="66"/>
      <c r="F37" s="56"/>
      <c r="G37" s="67"/>
      <c r="H37" s="56"/>
      <c r="I37" s="65"/>
      <c r="J37" s="56"/>
      <c r="K37" s="90" t="str">
        <f t="shared" si="13"/>
        <v/>
      </c>
      <c r="AE37" s="94"/>
      <c r="AF37" s="119"/>
      <c r="AG37" s="119"/>
      <c r="AH37" s="119"/>
      <c r="AI37" s="96"/>
      <c r="AJ37" s="114"/>
      <c r="AK37" s="94"/>
    </row>
    <row r="38" spans="2:37" s="6" customFormat="1" ht="15" hidden="1" customHeight="1" outlineLevel="1">
      <c r="B38" s="98"/>
      <c r="C38" s="65"/>
      <c r="D38" s="66"/>
      <c r="E38" s="66"/>
      <c r="F38" s="56"/>
      <c r="G38" s="67"/>
      <c r="H38" s="56"/>
      <c r="I38" s="65"/>
      <c r="J38" s="56"/>
      <c r="K38" s="90" t="str">
        <f t="shared" si="13"/>
        <v/>
      </c>
      <c r="AE38" s="94"/>
      <c r="AF38" s="119"/>
      <c r="AG38" s="119"/>
      <c r="AH38" s="119"/>
      <c r="AI38" s="96"/>
      <c r="AJ38" s="114"/>
      <c r="AK38" s="94"/>
    </row>
    <row r="39" spans="2:37" s="6" customFormat="1" ht="15" hidden="1" customHeight="1" outlineLevel="1">
      <c r="B39" s="98"/>
      <c r="C39" s="65"/>
      <c r="D39" s="66"/>
      <c r="E39" s="66"/>
      <c r="F39" s="56"/>
      <c r="G39" s="67"/>
      <c r="H39" s="56"/>
      <c r="I39" s="65"/>
      <c r="J39" s="56"/>
      <c r="K39" s="90" t="str">
        <f t="shared" si="13"/>
        <v/>
      </c>
      <c r="AE39" s="94"/>
      <c r="AF39" s="119"/>
      <c r="AG39" s="119"/>
      <c r="AH39" s="119"/>
      <c r="AI39" s="96"/>
      <c r="AJ39" s="114"/>
      <c r="AK39" s="94"/>
    </row>
    <row r="40" spans="2:37" s="6" customFormat="1" ht="15" hidden="1" customHeight="1" outlineLevel="1">
      <c r="B40" s="98"/>
      <c r="C40" s="65"/>
      <c r="D40" s="66"/>
      <c r="E40" s="66"/>
      <c r="F40" s="56"/>
      <c r="G40" s="67"/>
      <c r="H40" s="56"/>
      <c r="I40" s="65"/>
      <c r="J40" s="56"/>
      <c r="K40" s="90" t="str">
        <f t="shared" si="13"/>
        <v/>
      </c>
      <c r="AE40" s="94"/>
      <c r="AF40" s="119"/>
      <c r="AG40" s="119"/>
      <c r="AH40" s="119"/>
      <c r="AI40" s="96"/>
      <c r="AJ40" s="114"/>
      <c r="AK40" s="94"/>
    </row>
    <row r="41" spans="2:37" s="6" customFormat="1" ht="15" customHeight="1" collapsed="1">
      <c r="B41" s="29" t="s">
        <v>3</v>
      </c>
      <c r="C41" s="30">
        <f>SUM(C26:C40)</f>
        <v>32</v>
      </c>
      <c r="D41" s="53">
        <f>SUMPRODUCT(D26:D40,C26:C40)</f>
        <v>25600</v>
      </c>
      <c r="E41" s="54"/>
      <c r="F41" s="54">
        <f>SUMPRODUCT(F26:F40,C26:C40)</f>
        <v>26250</v>
      </c>
      <c r="G41" s="54"/>
      <c r="H41" s="54">
        <f>SUMPRODUCT(H26:H40,$C$26:$C$40)</f>
        <v>29340</v>
      </c>
      <c r="I41" s="30">
        <f>SUM(I26:I40)</f>
        <v>45</v>
      </c>
      <c r="J41" s="54">
        <f>SUMPRODUCT(J26:J40,$I$26:$I$40)</f>
        <v>7875</v>
      </c>
      <c r="K41" s="55">
        <f>SUMPRODUCT(K26:K40,$I$26:$I$40)</f>
        <v>41400</v>
      </c>
      <c r="M41" s="250"/>
      <c r="AE41" s="94"/>
      <c r="AF41" s="119"/>
      <c r="AG41" s="119"/>
      <c r="AH41" s="119"/>
      <c r="AI41" s="114"/>
      <c r="AJ41" s="96"/>
      <c r="AK41" s="94"/>
    </row>
    <row r="42" spans="2:37" customFormat="1" ht="15" customHeight="1">
      <c r="L42" s="6"/>
      <c r="M42" s="6"/>
      <c r="N42" s="6"/>
      <c r="AA42" s="6"/>
      <c r="AB42" s="6"/>
      <c r="AE42" s="94"/>
      <c r="AF42" s="119"/>
      <c r="AG42" s="119"/>
      <c r="AH42" s="119"/>
      <c r="AI42" s="153"/>
      <c r="AJ42" s="116"/>
      <c r="AK42" s="109"/>
    </row>
    <row r="43" spans="2:37" customFormat="1" ht="15" customHeight="1">
      <c r="B43" s="80" t="s">
        <v>77</v>
      </c>
      <c r="C43" s="58"/>
      <c r="D43" s="59"/>
      <c r="E43" s="6"/>
      <c r="F43" s="57" t="s">
        <v>17</v>
      </c>
      <c r="G43" s="60"/>
      <c r="H43" s="60"/>
      <c r="I43" s="60"/>
      <c r="J43" s="58"/>
      <c r="K43" s="59"/>
      <c r="L43" s="6"/>
      <c r="M43" s="6"/>
      <c r="N43" s="6"/>
      <c r="O43" s="31">
        <v>0</v>
      </c>
      <c r="P43" s="31">
        <f>O43+1</f>
        <v>1</v>
      </c>
      <c r="Q43" s="31">
        <f>P43+1</f>
        <v>2</v>
      </c>
      <c r="R43" s="31">
        <f t="shared" ref="R43:Z43" si="14">Q43+1</f>
        <v>3</v>
      </c>
      <c r="S43" s="31">
        <f t="shared" si="14"/>
        <v>4</v>
      </c>
      <c r="T43" s="31">
        <f t="shared" si="14"/>
        <v>5</v>
      </c>
      <c r="U43" s="31">
        <f t="shared" si="14"/>
        <v>6</v>
      </c>
      <c r="V43" s="31">
        <f t="shared" si="14"/>
        <v>7</v>
      </c>
      <c r="W43" s="31">
        <f t="shared" si="14"/>
        <v>8</v>
      </c>
      <c r="X43" s="31">
        <f t="shared" si="14"/>
        <v>9</v>
      </c>
      <c r="Y43" s="31">
        <f t="shared" si="14"/>
        <v>10</v>
      </c>
      <c r="Z43" s="31">
        <f t="shared" si="14"/>
        <v>11</v>
      </c>
      <c r="AA43" s="6"/>
      <c r="AB43" s="6"/>
      <c r="AE43" s="94"/>
      <c r="AF43" s="119"/>
      <c r="AG43" s="119"/>
      <c r="AH43" s="119"/>
      <c r="AI43" s="95"/>
      <c r="AJ43" s="96"/>
      <c r="AK43" s="109"/>
    </row>
    <row r="44" spans="2:37" customFormat="1" ht="15" customHeight="1">
      <c r="B44" s="71" t="s">
        <v>46</v>
      </c>
      <c r="C44" s="69"/>
      <c r="D44" s="200">
        <v>0.75</v>
      </c>
      <c r="E44" s="25"/>
      <c r="F44" s="163" t="s">
        <v>55</v>
      </c>
      <c r="G44" s="164"/>
      <c r="H44" s="83" t="s">
        <v>67</v>
      </c>
      <c r="I44" s="165">
        <v>1</v>
      </c>
      <c r="J44" s="165" t="s">
        <v>7</v>
      </c>
      <c r="K44" s="166">
        <f>$D$15</f>
        <v>6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E44" s="94"/>
      <c r="AF44" s="119"/>
      <c r="AG44" s="119"/>
      <c r="AH44" s="119"/>
      <c r="AI44" s="153"/>
      <c r="AJ44" s="116"/>
      <c r="AK44" s="109"/>
    </row>
    <row r="45" spans="2:37" customFormat="1" ht="15" customHeight="1">
      <c r="B45" s="71" t="s">
        <v>47</v>
      </c>
      <c r="C45" s="69"/>
      <c r="D45" s="201">
        <f>IFERROR(D44*D11,0)</f>
        <v>1612500</v>
      </c>
      <c r="E45" s="22"/>
      <c r="F45" s="71" t="s">
        <v>113</v>
      </c>
      <c r="G45" s="69"/>
      <c r="H45" s="69"/>
      <c r="I45" s="167">
        <f>INDEX($P45:$Z45,,MATCH(I$44,$P$43:$Z$43,0))</f>
        <v>352080</v>
      </c>
      <c r="J45" s="225">
        <f>IFERROR(I45/$C$41,"N/A")</f>
        <v>11002.5</v>
      </c>
      <c r="K45" s="168">
        <f>IFERROR(INDEX($P45:$Z45,,MATCH(K$44,$P$43:$Z$43,0)),0)</f>
        <v>437571.79003699205</v>
      </c>
      <c r="L45" s="6"/>
      <c r="M45" s="6"/>
      <c r="N45" s="6"/>
      <c r="O45" s="6"/>
      <c r="P45" s="130">
        <f>H41*12</f>
        <v>352080</v>
      </c>
      <c r="Q45" s="130">
        <f t="shared" ref="Q45:Z45" si="15">IFERROR(P45*(1+$D$20)+(Q$43=2)*$J$41,0)</f>
        <v>374038.2</v>
      </c>
      <c r="R45" s="130">
        <f t="shared" si="15"/>
        <v>388999.728</v>
      </c>
      <c r="S45" s="130">
        <f t="shared" si="15"/>
        <v>404559.71712000004</v>
      </c>
      <c r="T45" s="130">
        <f t="shared" si="15"/>
        <v>420742.10580480006</v>
      </c>
      <c r="U45" s="130">
        <f t="shared" si="15"/>
        <v>437571.79003699205</v>
      </c>
      <c r="V45" s="130">
        <f t="shared" si="15"/>
        <v>455074.66163847176</v>
      </c>
      <c r="W45" s="130">
        <f t="shared" si="15"/>
        <v>473277.64810401067</v>
      </c>
      <c r="X45" s="130">
        <f t="shared" si="15"/>
        <v>492208.75402817113</v>
      </c>
      <c r="Y45" s="130">
        <f t="shared" si="15"/>
        <v>511897.104189298</v>
      </c>
      <c r="Z45" s="130">
        <f t="shared" si="15"/>
        <v>532372.9883568699</v>
      </c>
      <c r="AA45" s="6"/>
      <c r="AB45" s="6"/>
      <c r="AE45" s="94"/>
      <c r="AF45" s="119"/>
      <c r="AG45" s="119"/>
      <c r="AH45" s="119"/>
      <c r="AI45" s="95"/>
      <c r="AJ45" s="96"/>
      <c r="AK45" s="109"/>
    </row>
    <row r="46" spans="2:37" customFormat="1" ht="15" customHeight="1">
      <c r="B46" s="71" t="s">
        <v>100</v>
      </c>
      <c r="C46" s="69"/>
      <c r="D46" s="202">
        <v>5.2499999999999998E-2</v>
      </c>
      <c r="E46" s="27"/>
      <c r="F46" s="71" t="s">
        <v>41</v>
      </c>
      <c r="G46" s="69"/>
      <c r="H46" s="196">
        <v>3</v>
      </c>
      <c r="I46" s="167">
        <f t="shared" ref="I46:I48" si="16">INDEX($P46:$Z46,,MATCH(I$44,$P$43:$Z$43,0))</f>
        <v>-27810</v>
      </c>
      <c r="J46" s="225">
        <f>IFERROR(I46/$C$41,"N/A")</f>
        <v>-869.0625</v>
      </c>
      <c r="K46" s="168">
        <f t="shared" ref="K46:K49" si="17">IFERROR(INDEX($P46:$Z46,,MATCH(K$44,$P$43:$Z$43,0)),0)</f>
        <v>0</v>
      </c>
      <c r="M46" s="6"/>
      <c r="N46" s="6"/>
      <c r="O46" s="6"/>
      <c r="P46" s="130">
        <f>IFERROR(MIN(-(1-(P$43/($H$46+1)))*(($H$41-$F$41)/$H$41)*P$45,0),0)</f>
        <v>-27810</v>
      </c>
      <c r="Q46" s="130">
        <f t="shared" ref="Q46:Z46" si="18">IFERROR(MIN(-(1-(Q$43/($H$46+1)))*(($H$41-$F$41)/$H$41)*Q$45,0),0)</f>
        <v>-19696.285582822085</v>
      </c>
      <c r="R46" s="130">
        <f t="shared" si="18"/>
        <v>-10242.068503067485</v>
      </c>
      <c r="S46" s="130">
        <f t="shared" si="18"/>
        <v>0</v>
      </c>
      <c r="T46" s="130">
        <f t="shared" si="18"/>
        <v>0</v>
      </c>
      <c r="U46" s="130">
        <f t="shared" si="18"/>
        <v>0</v>
      </c>
      <c r="V46" s="130">
        <f t="shared" si="18"/>
        <v>0</v>
      </c>
      <c r="W46" s="130">
        <f t="shared" si="18"/>
        <v>0</v>
      </c>
      <c r="X46" s="130">
        <f t="shared" si="18"/>
        <v>0</v>
      </c>
      <c r="Y46" s="130">
        <f t="shared" si="18"/>
        <v>0</v>
      </c>
      <c r="Z46" s="130">
        <f t="shared" si="18"/>
        <v>0</v>
      </c>
      <c r="AA46" s="6"/>
      <c r="AB46" s="6"/>
      <c r="AE46" s="94"/>
      <c r="AF46" s="94"/>
      <c r="AG46" s="94"/>
      <c r="AH46" s="94"/>
      <c r="AI46" s="94"/>
      <c r="AJ46" s="113"/>
      <c r="AK46" s="109"/>
    </row>
    <row r="47" spans="2:37" customFormat="1" ht="15" customHeight="1">
      <c r="B47" s="71" t="s">
        <v>45</v>
      </c>
      <c r="C47" s="69"/>
      <c r="D47" s="203">
        <v>30</v>
      </c>
      <c r="F47" s="71" t="s">
        <v>2</v>
      </c>
      <c r="G47" s="169"/>
      <c r="H47" s="195">
        <v>0.08</v>
      </c>
      <c r="I47" s="167">
        <f t="shared" si="16"/>
        <v>-28166.400000000001</v>
      </c>
      <c r="J47" s="225">
        <f>IFERROR(I47/$C$41,"N/A")</f>
        <v>-880.2</v>
      </c>
      <c r="K47" s="168">
        <f t="shared" si="17"/>
        <v>-35005.743202959362</v>
      </c>
      <c r="M47" s="6"/>
      <c r="N47" s="6"/>
      <c r="O47" s="6"/>
      <c r="P47" s="28">
        <f>IFERROR(-$H47*P45,0)</f>
        <v>-28166.400000000001</v>
      </c>
      <c r="Q47" s="28">
        <f t="shared" ref="Q47:Z47" si="19">IFERROR(-$H47*Q45,0)</f>
        <v>-29923.056</v>
      </c>
      <c r="R47" s="28">
        <f t="shared" si="19"/>
        <v>-31119.97824</v>
      </c>
      <c r="S47" s="28">
        <f t="shared" si="19"/>
        <v>-32364.777369600004</v>
      </c>
      <c r="T47" s="28">
        <f t="shared" si="19"/>
        <v>-33659.368464384002</v>
      </c>
      <c r="U47" s="28">
        <f t="shared" si="19"/>
        <v>-35005.743202959362</v>
      </c>
      <c r="V47" s="28">
        <f t="shared" si="19"/>
        <v>-36405.97293107774</v>
      </c>
      <c r="W47" s="28">
        <f t="shared" si="19"/>
        <v>-37862.211848320854</v>
      </c>
      <c r="X47" s="28">
        <f t="shared" si="19"/>
        <v>-39376.700322253688</v>
      </c>
      <c r="Y47" s="28">
        <f t="shared" si="19"/>
        <v>-40951.768335143839</v>
      </c>
      <c r="Z47" s="28">
        <f t="shared" si="19"/>
        <v>-42589.839068549591</v>
      </c>
      <c r="AA47" s="6"/>
      <c r="AB47" s="6"/>
      <c r="AE47" s="109"/>
      <c r="AF47" s="109"/>
      <c r="AG47" s="109"/>
      <c r="AH47" s="109"/>
      <c r="AI47" s="109"/>
      <c r="AJ47" s="109"/>
      <c r="AK47" s="109"/>
    </row>
    <row r="48" spans="2:37" customFormat="1" ht="15" customHeight="1">
      <c r="B48" s="71" t="s">
        <v>99</v>
      </c>
      <c r="C48" s="69"/>
      <c r="D48" s="251">
        <v>3</v>
      </c>
      <c r="F48" s="71" t="s">
        <v>1</v>
      </c>
      <c r="G48" s="69"/>
      <c r="H48" s="197">
        <v>24000</v>
      </c>
      <c r="I48" s="170">
        <f t="shared" si="16"/>
        <v>24000</v>
      </c>
      <c r="J48" s="170">
        <f>IFERROR(I48/$C$41,"N/A")</f>
        <v>750</v>
      </c>
      <c r="K48" s="171">
        <f t="shared" si="17"/>
        <v>27822.577783200006</v>
      </c>
      <c r="M48" s="6"/>
      <c r="N48" s="6"/>
      <c r="O48" s="6"/>
      <c r="P48" s="131">
        <f>IF(ISNUMBER(H48),H48,0)</f>
        <v>24000</v>
      </c>
      <c r="Q48" s="131">
        <f t="shared" ref="Q48:Z48" si="20">IFERROR(P48*(1+$D$21),0)</f>
        <v>24720</v>
      </c>
      <c r="R48" s="131">
        <f t="shared" si="20"/>
        <v>25461.600000000002</v>
      </c>
      <c r="S48" s="131">
        <f t="shared" si="20"/>
        <v>26225.448000000004</v>
      </c>
      <c r="T48" s="131">
        <f t="shared" si="20"/>
        <v>27012.211440000006</v>
      </c>
      <c r="U48" s="131">
        <f t="shared" si="20"/>
        <v>27822.577783200006</v>
      </c>
      <c r="V48" s="131">
        <f t="shared" si="20"/>
        <v>28657.255116696007</v>
      </c>
      <c r="W48" s="131">
        <f t="shared" si="20"/>
        <v>29516.972770196888</v>
      </c>
      <c r="X48" s="131">
        <f t="shared" si="20"/>
        <v>30402.481953302795</v>
      </c>
      <c r="Y48" s="131">
        <f t="shared" si="20"/>
        <v>31314.556411901878</v>
      </c>
      <c r="Z48" s="131">
        <f t="shared" si="20"/>
        <v>32253.993104258934</v>
      </c>
      <c r="AA48" s="6"/>
      <c r="AB48" s="6"/>
      <c r="AE48" s="109"/>
      <c r="AF48" s="109"/>
      <c r="AG48" s="109"/>
      <c r="AH48" s="109"/>
      <c r="AI48" s="109"/>
      <c r="AJ48" s="109"/>
      <c r="AK48" s="109"/>
    </row>
    <row r="49" spans="1:36" customFormat="1" ht="15" customHeight="1">
      <c r="B49" s="252" t="s">
        <v>112</v>
      </c>
      <c r="C49" s="73"/>
      <c r="D49" s="253">
        <f>I64/-I68</f>
        <v>2.1001688593576966</v>
      </c>
      <c r="F49" s="71" t="s">
        <v>50</v>
      </c>
      <c r="G49" s="172"/>
      <c r="H49" s="198"/>
      <c r="I49" s="167">
        <f>INDEX($P49:$Z49,,MATCH(I$44,$P$43:$Z$43,0))</f>
        <v>320103.59999999998</v>
      </c>
      <c r="J49" s="225">
        <f>IFERROR(I49/$C$41,"N/A")</f>
        <v>10003.237499999999</v>
      </c>
      <c r="K49" s="168">
        <f t="shared" si="17"/>
        <v>430388.62461723271</v>
      </c>
      <c r="O49" s="6"/>
      <c r="P49" s="28">
        <f>SUM(P45:P48)</f>
        <v>320103.59999999998</v>
      </c>
      <c r="Q49" s="28">
        <f t="shared" ref="Q49:Y49" si="21">SUM(Q45:Q48)</f>
        <v>349138.85841717792</v>
      </c>
      <c r="R49" s="28">
        <f t="shared" si="21"/>
        <v>373099.28125693247</v>
      </c>
      <c r="S49" s="28">
        <f t="shared" si="21"/>
        <v>398420.3877504</v>
      </c>
      <c r="T49" s="28">
        <f t="shared" si="21"/>
        <v>414094.94878041605</v>
      </c>
      <c r="U49" s="28">
        <f t="shared" si="21"/>
        <v>430388.62461723271</v>
      </c>
      <c r="V49" s="28">
        <f t="shared" si="21"/>
        <v>447325.94382409001</v>
      </c>
      <c r="W49" s="28">
        <f t="shared" si="21"/>
        <v>464932.40902588674</v>
      </c>
      <c r="X49" s="28">
        <f t="shared" si="21"/>
        <v>483234.53565922024</v>
      </c>
      <c r="Y49" s="28">
        <f t="shared" si="21"/>
        <v>502259.89226605603</v>
      </c>
      <c r="Z49" s="28">
        <f t="shared" ref="Z49" si="22">SUM(Z45:Z48)</f>
        <v>522037.14239257929</v>
      </c>
      <c r="AA49" s="6"/>
      <c r="AB49" s="6"/>
    </row>
    <row r="50" spans="1:36" customFormat="1" ht="15" customHeight="1">
      <c r="B50" s="150" t="s">
        <v>146</v>
      </c>
      <c r="C50" s="78"/>
      <c r="D50" s="236">
        <f>INDEX(P72:Z72,MATCH(H46,P43:Z43))</f>
        <v>2.6040166177226829</v>
      </c>
      <c r="F50" s="71"/>
      <c r="G50" s="69"/>
      <c r="H50" s="198"/>
      <c r="I50" s="69"/>
      <c r="J50" s="69"/>
      <c r="K50" s="70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36" customFormat="1" ht="15" customHeight="1">
      <c r="B51" s="80" t="s">
        <v>101</v>
      </c>
      <c r="C51" s="58"/>
      <c r="D51" s="59"/>
      <c r="F51" s="75" t="s">
        <v>56</v>
      </c>
      <c r="G51" s="73"/>
      <c r="H51" s="199"/>
      <c r="I51" s="73"/>
      <c r="J51" s="73"/>
      <c r="K51" s="79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J51" s="4"/>
    </row>
    <row r="52" spans="1:36" customFormat="1" ht="15" customHeight="1">
      <c r="B52" s="76" t="s">
        <v>103</v>
      </c>
      <c r="C52" s="204">
        <v>0.3</v>
      </c>
      <c r="D52" s="205">
        <f>1-C52</f>
        <v>0.7</v>
      </c>
      <c r="F52" s="71" t="s">
        <v>51</v>
      </c>
      <c r="G52" s="69"/>
      <c r="H52" s="195">
        <v>0.05</v>
      </c>
      <c r="I52" s="167">
        <f t="shared" ref="I52:I58" si="23">INDEX($P52:$Z52,,MATCH(I$44,$P$43:$Z$43,0))</f>
        <v>-16005.18</v>
      </c>
      <c r="J52" s="167">
        <f t="shared" ref="J52:J58" si="24">IFERROR(I52/$C$41,"N/A")</f>
        <v>-500.16187500000001</v>
      </c>
      <c r="K52" s="168">
        <f t="shared" ref="K52:K58" si="25">IFERROR(INDEX($P52:$Z52,,MATCH(K$44,$P$43:$Z$43,0)),0)</f>
        <v>-21519.431230861635</v>
      </c>
      <c r="O52" s="6"/>
      <c r="P52" s="28">
        <f>IFERROR(-$H$52*P49,0)</f>
        <v>-16005.18</v>
      </c>
      <c r="Q52" s="28">
        <f t="shared" ref="Q52:Z52" si="26">IFERROR(-$H$52*Q49,0)</f>
        <v>-17456.942920858895</v>
      </c>
      <c r="R52" s="28">
        <f t="shared" si="26"/>
        <v>-18654.964062846626</v>
      </c>
      <c r="S52" s="28">
        <f t="shared" si="26"/>
        <v>-19921.019387520002</v>
      </c>
      <c r="T52" s="28">
        <f t="shared" si="26"/>
        <v>-20704.747439020804</v>
      </c>
      <c r="U52" s="28">
        <f t="shared" si="26"/>
        <v>-21519.431230861635</v>
      </c>
      <c r="V52" s="28">
        <f t="shared" si="26"/>
        <v>-22366.297191204503</v>
      </c>
      <c r="W52" s="28">
        <f t="shared" si="26"/>
        <v>-23246.620451294337</v>
      </c>
      <c r="X52" s="28">
        <f t="shared" si="26"/>
        <v>-24161.726782961014</v>
      </c>
      <c r="Y52" s="28">
        <f t="shared" si="26"/>
        <v>-25112.994613302802</v>
      </c>
      <c r="Z52" s="28">
        <f t="shared" si="26"/>
        <v>-26101.857119628967</v>
      </c>
      <c r="AA52" s="6"/>
      <c r="AB52" s="6"/>
    </row>
    <row r="53" spans="1:36" customFormat="1" ht="15" customHeight="1">
      <c r="B53" s="76" t="s">
        <v>104</v>
      </c>
      <c r="C53" s="245"/>
      <c r="D53" s="206">
        <v>0.08</v>
      </c>
      <c r="F53" s="71" t="s">
        <v>57</v>
      </c>
      <c r="G53" s="73"/>
      <c r="H53" s="197">
        <v>35296</v>
      </c>
      <c r="I53" s="167">
        <f t="shared" si="23"/>
        <v>-35296</v>
      </c>
      <c r="J53" s="167">
        <f t="shared" si="24"/>
        <v>-1103</v>
      </c>
      <c r="K53" s="168">
        <f t="shared" si="25"/>
        <v>-40917.7377264928</v>
      </c>
      <c r="O53" s="6"/>
      <c r="P53" s="28">
        <f>IF(ISNUMBER(-H53),-H53,0)</f>
        <v>-35296</v>
      </c>
      <c r="Q53" s="28">
        <f t="shared" ref="Q53:Z53" si="27">IFERROR(P53*(1+$D$21),0)</f>
        <v>-36354.879999999997</v>
      </c>
      <c r="R53" s="28">
        <f t="shared" si="27"/>
        <v>-37445.526399999995</v>
      </c>
      <c r="S53" s="28">
        <f t="shared" si="27"/>
        <v>-38568.892191999999</v>
      </c>
      <c r="T53" s="28">
        <f t="shared" si="27"/>
        <v>-39725.958957759998</v>
      </c>
      <c r="U53" s="28">
        <f t="shared" si="27"/>
        <v>-40917.7377264928</v>
      </c>
      <c r="V53" s="28">
        <f t="shared" si="27"/>
        <v>-42145.269858287582</v>
      </c>
      <c r="W53" s="28">
        <f t="shared" si="27"/>
        <v>-43409.627954036208</v>
      </c>
      <c r="X53" s="28">
        <f t="shared" si="27"/>
        <v>-44711.916792657299</v>
      </c>
      <c r="Y53" s="28">
        <f t="shared" si="27"/>
        <v>-46053.274296437019</v>
      </c>
      <c r="Z53" s="28">
        <f t="shared" si="27"/>
        <v>-47434.872525330131</v>
      </c>
      <c r="AA53" s="6"/>
      <c r="AB53" s="6"/>
    </row>
    <row r="54" spans="1:36" customFormat="1" ht="15" customHeight="1">
      <c r="B54" s="76" t="s">
        <v>14</v>
      </c>
      <c r="C54" s="195">
        <v>0.02</v>
      </c>
      <c r="D54" s="237">
        <f>C54*D11</f>
        <v>43000</v>
      </c>
      <c r="F54" s="71" t="s">
        <v>58</v>
      </c>
      <c r="G54" s="73"/>
      <c r="H54" s="197">
        <v>11996</v>
      </c>
      <c r="I54" s="167">
        <f t="shared" si="23"/>
        <v>-11996</v>
      </c>
      <c r="J54" s="167">
        <f t="shared" si="24"/>
        <v>-374.875</v>
      </c>
      <c r="K54" s="168">
        <f t="shared" si="25"/>
        <v>-13906.651795302801</v>
      </c>
      <c r="O54" s="6"/>
      <c r="P54" s="28">
        <f t="shared" ref="P54:P59" si="28">IF(ISNUMBER(-H54),-H54,0)</f>
        <v>-11996</v>
      </c>
      <c r="Q54" s="28">
        <f t="shared" ref="Q54:Z54" si="29">IFERROR(P54*(1+$D$21),0)</f>
        <v>-12355.880000000001</v>
      </c>
      <c r="R54" s="28">
        <f t="shared" si="29"/>
        <v>-12726.556400000001</v>
      </c>
      <c r="S54" s="28">
        <f t="shared" si="29"/>
        <v>-13108.353092000001</v>
      </c>
      <c r="T54" s="28">
        <f t="shared" si="29"/>
        <v>-13501.603684760001</v>
      </c>
      <c r="U54" s="28">
        <f t="shared" si="29"/>
        <v>-13906.651795302801</v>
      </c>
      <c r="V54" s="28">
        <f t="shared" si="29"/>
        <v>-14323.851349161885</v>
      </c>
      <c r="W54" s="28">
        <f t="shared" si="29"/>
        <v>-14753.566889636742</v>
      </c>
      <c r="X54" s="28">
        <f t="shared" si="29"/>
        <v>-15196.173896325845</v>
      </c>
      <c r="Y54" s="28">
        <f t="shared" si="29"/>
        <v>-15652.059113215621</v>
      </c>
      <c r="Z54" s="28">
        <f t="shared" si="29"/>
        <v>-16121.620886612089</v>
      </c>
      <c r="AA54" s="6"/>
      <c r="AB54" s="6"/>
    </row>
    <row r="55" spans="1:36" customFormat="1" ht="15" customHeight="1">
      <c r="B55" s="76" t="s">
        <v>49</v>
      </c>
      <c r="C55" s="195">
        <v>0.02</v>
      </c>
      <c r="D55" s="237">
        <f>IFERROR(INDEX($P95:$Z95,MATCH(K$44,$P$43:$Z$43,0)),0)</f>
        <v>45704.914016443188</v>
      </c>
      <c r="E55" s="11"/>
      <c r="F55" s="71" t="s">
        <v>115</v>
      </c>
      <c r="G55" s="73"/>
      <c r="H55" s="197">
        <v>600</v>
      </c>
      <c r="I55" s="167">
        <f t="shared" si="23"/>
        <v>-600</v>
      </c>
      <c r="J55" s="167">
        <f t="shared" si="24"/>
        <v>-18.75</v>
      </c>
      <c r="K55" s="168">
        <f t="shared" si="25"/>
        <v>-695.56444457999999</v>
      </c>
      <c r="L55" s="32"/>
      <c r="O55" s="6"/>
      <c r="P55" s="28">
        <f t="shared" si="28"/>
        <v>-600</v>
      </c>
      <c r="Q55" s="28">
        <f t="shared" ref="Q55:Z55" si="30">IFERROR(P55*(1+$D$21),0)</f>
        <v>-618</v>
      </c>
      <c r="R55" s="28">
        <f t="shared" si="30"/>
        <v>-636.54</v>
      </c>
      <c r="S55" s="28">
        <f t="shared" si="30"/>
        <v>-655.63620000000003</v>
      </c>
      <c r="T55" s="28">
        <f t="shared" si="30"/>
        <v>-675.30528600000002</v>
      </c>
      <c r="U55" s="28">
        <f t="shared" si="30"/>
        <v>-695.56444457999999</v>
      </c>
      <c r="V55" s="28">
        <f t="shared" si="30"/>
        <v>-716.43137791740003</v>
      </c>
      <c r="W55" s="28">
        <f t="shared" si="30"/>
        <v>-737.92431925492201</v>
      </c>
      <c r="X55" s="28">
        <f t="shared" si="30"/>
        <v>-760.06204883256964</v>
      </c>
      <c r="Y55" s="28">
        <f t="shared" si="30"/>
        <v>-782.86391029754679</v>
      </c>
      <c r="Z55" s="28">
        <f t="shared" si="30"/>
        <v>-806.34982760647324</v>
      </c>
      <c r="AA55" s="6"/>
      <c r="AB55" s="6"/>
      <c r="AC55" s="94"/>
      <c r="AD55" s="94"/>
    </row>
    <row r="56" spans="1:36" s="6" customFormat="1" ht="15" customHeight="1">
      <c r="A56"/>
      <c r="B56" s="76" t="s">
        <v>102</v>
      </c>
      <c r="C56" s="195">
        <v>0</v>
      </c>
      <c r="D56" s="237">
        <f>C56*C64</f>
        <v>0</v>
      </c>
      <c r="F56" s="71" t="s">
        <v>52</v>
      </c>
      <c r="G56" s="164"/>
      <c r="H56" s="197">
        <v>14390</v>
      </c>
      <c r="I56" s="167">
        <f t="shared" si="23"/>
        <v>-14390</v>
      </c>
      <c r="J56" s="167">
        <f t="shared" si="24"/>
        <v>-449.6875</v>
      </c>
      <c r="K56" s="168">
        <f t="shared" si="25"/>
        <v>-16681.953929177002</v>
      </c>
      <c r="P56" s="28">
        <f t="shared" si="28"/>
        <v>-14390</v>
      </c>
      <c r="Q56" s="28">
        <f t="shared" ref="Q56:Z56" si="31">IFERROR(P56*(1+$D$21),0)</f>
        <v>-14821.7</v>
      </c>
      <c r="R56" s="28">
        <f t="shared" si="31"/>
        <v>-15266.351000000001</v>
      </c>
      <c r="S56" s="28">
        <f t="shared" si="31"/>
        <v>-15724.341530000002</v>
      </c>
      <c r="T56" s="28">
        <f t="shared" si="31"/>
        <v>-16196.071775900002</v>
      </c>
      <c r="U56" s="28">
        <f t="shared" si="31"/>
        <v>-16681.953929177002</v>
      </c>
      <c r="V56" s="28">
        <f t="shared" si="31"/>
        <v>-17182.41254705231</v>
      </c>
      <c r="W56" s="28">
        <f t="shared" si="31"/>
        <v>-17697.88492346388</v>
      </c>
      <c r="X56" s="28">
        <f t="shared" si="31"/>
        <v>-18228.821471167797</v>
      </c>
      <c r="Y56" s="28">
        <f t="shared" si="31"/>
        <v>-18775.686115302833</v>
      </c>
      <c r="Z56" s="28">
        <f t="shared" si="31"/>
        <v>-19338.956698761918</v>
      </c>
    </row>
    <row r="57" spans="1:36" s="6" customFormat="1" ht="15" customHeight="1">
      <c r="A57"/>
      <c r="B57" s="77" t="s">
        <v>16</v>
      </c>
      <c r="C57" s="208">
        <v>0</v>
      </c>
      <c r="D57" s="238">
        <f>C57*K11</f>
        <v>0</v>
      </c>
      <c r="F57" s="71" t="s">
        <v>114</v>
      </c>
      <c r="G57" s="169"/>
      <c r="H57" s="197">
        <v>10743</v>
      </c>
      <c r="I57" s="167">
        <f t="shared" si="23"/>
        <v>-10743</v>
      </c>
      <c r="J57" s="167">
        <f t="shared" si="24"/>
        <v>-335.71875</v>
      </c>
      <c r="K57" s="168">
        <f t="shared" si="25"/>
        <v>-12454.081380204903</v>
      </c>
      <c r="P57" s="28">
        <f t="shared" si="28"/>
        <v>-10743</v>
      </c>
      <c r="Q57" s="28">
        <f t="shared" ref="Q57:Z57" si="32">IFERROR(P57*(1+$D$21),0)</f>
        <v>-11065.29</v>
      </c>
      <c r="R57" s="28">
        <f t="shared" si="32"/>
        <v>-11397.248700000002</v>
      </c>
      <c r="S57" s="28">
        <f t="shared" si="32"/>
        <v>-11739.166161000003</v>
      </c>
      <c r="T57" s="28">
        <f t="shared" si="32"/>
        <v>-12091.341145830003</v>
      </c>
      <c r="U57" s="28">
        <f t="shared" si="32"/>
        <v>-12454.081380204903</v>
      </c>
      <c r="V57" s="28">
        <f t="shared" si="32"/>
        <v>-12827.70382161105</v>
      </c>
      <c r="W57" s="28">
        <f t="shared" si="32"/>
        <v>-13212.534936259382</v>
      </c>
      <c r="X57" s="28">
        <f t="shared" si="32"/>
        <v>-13608.910984347165</v>
      </c>
      <c r="Y57" s="28">
        <f t="shared" si="32"/>
        <v>-14017.178313877581</v>
      </c>
      <c r="Z57" s="28">
        <f t="shared" si="32"/>
        <v>-14437.693663293909</v>
      </c>
      <c r="AC57"/>
      <c r="AD57"/>
      <c r="AH57"/>
      <c r="AI57"/>
    </row>
    <row r="58" spans="1:36" s="6" customFormat="1" ht="15" customHeight="1">
      <c r="A58"/>
      <c r="F58" s="71" t="s">
        <v>53</v>
      </c>
      <c r="G58" s="73"/>
      <c r="H58" s="197">
        <v>35696</v>
      </c>
      <c r="I58" s="167">
        <f t="shared" si="23"/>
        <v>-35696</v>
      </c>
      <c r="J58" s="167">
        <f t="shared" si="24"/>
        <v>-1115.5</v>
      </c>
      <c r="K58" s="168">
        <f t="shared" si="25"/>
        <v>-41381.447356212797</v>
      </c>
      <c r="P58" s="28">
        <f t="shared" si="28"/>
        <v>-35696</v>
      </c>
      <c r="Q58" s="28">
        <f t="shared" ref="Q58:Z58" si="33">IFERROR(P58*(1+$D$21),0)</f>
        <v>-36766.879999999997</v>
      </c>
      <c r="R58" s="28">
        <f t="shared" si="33"/>
        <v>-37869.886399999996</v>
      </c>
      <c r="S58" s="28">
        <f t="shared" si="33"/>
        <v>-39005.982991999997</v>
      </c>
      <c r="T58" s="28">
        <f t="shared" si="33"/>
        <v>-40176.162481759995</v>
      </c>
      <c r="U58" s="28">
        <f t="shared" si="33"/>
        <v>-41381.447356212797</v>
      </c>
      <c r="V58" s="28">
        <f t="shared" si="33"/>
        <v>-42622.890776899185</v>
      </c>
      <c r="W58" s="28">
        <f t="shared" si="33"/>
        <v>-43901.577500206164</v>
      </c>
      <c r="X58" s="28">
        <f t="shared" si="33"/>
        <v>-45218.624825212348</v>
      </c>
      <c r="Y58" s="28">
        <f t="shared" si="33"/>
        <v>-46575.183569968722</v>
      </c>
      <c r="Z58" s="28">
        <f t="shared" si="33"/>
        <v>-47972.439077067786</v>
      </c>
      <c r="AB58" s="192"/>
      <c r="AC58" s="193"/>
      <c r="AD58" s="192"/>
    </row>
    <row r="59" spans="1:36" s="6" customFormat="1" ht="15" customHeight="1">
      <c r="A59"/>
      <c r="B59" s="80" t="s">
        <v>95</v>
      </c>
      <c r="C59" s="58"/>
      <c r="D59" s="59"/>
      <c r="F59" s="71" t="s">
        <v>54</v>
      </c>
      <c r="G59" s="69"/>
      <c r="H59" s="197">
        <v>6400</v>
      </c>
      <c r="I59" s="167">
        <f t="shared" ref="I59:I64" si="34">INDEX($P59:$Z59,,MATCH(I$44,$P$43:$Z$43,0))</f>
        <v>-6400</v>
      </c>
      <c r="J59" s="167">
        <f>IFERROR(I59/$C$41,"N/A")</f>
        <v>-200</v>
      </c>
      <c r="K59" s="168">
        <f t="shared" ref="K59:K64" si="35">IFERROR(INDEX($P59:$Z59,,MATCH(K$44,$P$43:$Z$43,0)),0)</f>
        <v>-7419.3540755200002</v>
      </c>
      <c r="P59" s="28">
        <f t="shared" si="28"/>
        <v>-6400</v>
      </c>
      <c r="Q59" s="28">
        <f t="shared" ref="Q59" si="36">IFERROR(P59*(1+$D$21),0)</f>
        <v>-6592</v>
      </c>
      <c r="R59" s="28">
        <f t="shared" ref="R59" si="37">IFERROR(Q59*(1+$D$21),0)</f>
        <v>-6789.76</v>
      </c>
      <c r="S59" s="28">
        <f t="shared" ref="S59" si="38">IFERROR(R59*(1+$D$21),0)</f>
        <v>-6993.4528</v>
      </c>
      <c r="T59" s="28">
        <f t="shared" ref="T59" si="39">IFERROR(S59*(1+$D$21),0)</f>
        <v>-7203.2563840000003</v>
      </c>
      <c r="U59" s="28">
        <f t="shared" ref="U59" si="40">IFERROR(T59*(1+$D$21),0)</f>
        <v>-7419.3540755200002</v>
      </c>
      <c r="V59" s="28">
        <f t="shared" ref="V59" si="41">IFERROR(U59*(1+$D$21),0)</f>
        <v>-7641.9346977856003</v>
      </c>
      <c r="W59" s="28">
        <f t="shared" ref="W59" si="42">IFERROR(V59*(1+$D$21),0)</f>
        <v>-7871.1927387191681</v>
      </c>
      <c r="X59" s="28">
        <f t="shared" ref="X59" si="43">IFERROR(W59*(1+$D$21),0)</f>
        <v>-8107.3285208807438</v>
      </c>
      <c r="Y59" s="28">
        <f t="shared" ref="Y59" si="44">IFERROR(X59*(1+$D$21),0)</f>
        <v>-8350.5483765071658</v>
      </c>
      <c r="Z59" s="28">
        <f t="shared" ref="Z59" si="45">IFERROR(Y59*(1+$D$21),0)</f>
        <v>-8601.0648278023818</v>
      </c>
      <c r="AB59" s="192"/>
      <c r="AC59" s="192"/>
      <c r="AD59" s="192"/>
    </row>
    <row r="60" spans="1:36" s="6" customFormat="1" ht="15" customHeight="1">
      <c r="A60"/>
      <c r="B60" s="75" t="s">
        <v>35</v>
      </c>
      <c r="C60" s="91" t="s">
        <v>8</v>
      </c>
      <c r="D60" s="92" t="s">
        <v>7</v>
      </c>
      <c r="F60" s="71" t="s">
        <v>23</v>
      </c>
      <c r="G60" s="69"/>
      <c r="H60" s="197">
        <v>9321</v>
      </c>
      <c r="I60" s="173">
        <f t="shared" si="34"/>
        <v>-9321</v>
      </c>
      <c r="J60" s="173">
        <f>IFERROR(I60/$C$41,"N/A")</f>
        <v>-291.28125</v>
      </c>
      <c r="K60" s="171">
        <f t="shared" si="35"/>
        <v>-10805.593646550302</v>
      </c>
      <c r="P60" s="28">
        <f>IF(ISNUMBER(-H60),-H60,0)</f>
        <v>-9321</v>
      </c>
      <c r="Q60" s="28">
        <f t="shared" ref="Q60:Z60" si="46">IFERROR(P60*(1+$D$21),0)</f>
        <v>-9600.630000000001</v>
      </c>
      <c r="R60" s="28">
        <f t="shared" si="46"/>
        <v>-9888.648900000002</v>
      </c>
      <c r="S60" s="28">
        <f t="shared" si="46"/>
        <v>-10185.308367000001</v>
      </c>
      <c r="T60" s="28">
        <f t="shared" si="46"/>
        <v>-10490.867618010001</v>
      </c>
      <c r="U60" s="28">
        <f t="shared" si="46"/>
        <v>-10805.593646550302</v>
      </c>
      <c r="V60" s="28">
        <f t="shared" si="46"/>
        <v>-11129.761455946811</v>
      </c>
      <c r="W60" s="28">
        <f t="shared" si="46"/>
        <v>-11463.654299625216</v>
      </c>
      <c r="X60" s="28">
        <f t="shared" si="46"/>
        <v>-11807.563928613972</v>
      </c>
      <c r="Y60" s="28">
        <f t="shared" si="46"/>
        <v>-12161.790846472391</v>
      </c>
      <c r="Z60" s="28">
        <f t="shared" si="46"/>
        <v>-12526.644571866564</v>
      </c>
      <c r="AB60" s="192"/>
      <c r="AC60" s="192"/>
      <c r="AD60" s="192"/>
    </row>
    <row r="61" spans="1:36" customFormat="1" ht="15" customHeight="1">
      <c r="B61" s="76" t="s">
        <v>33</v>
      </c>
      <c r="C61" s="209">
        <f>IFERROR(D61*$I$41,"N/A")</f>
        <v>315000</v>
      </c>
      <c r="D61" s="210">
        <v>7000</v>
      </c>
      <c r="F61" s="71" t="s">
        <v>116</v>
      </c>
      <c r="G61" s="69"/>
      <c r="H61" s="197">
        <v>1864</v>
      </c>
      <c r="I61" s="173">
        <f t="shared" si="34"/>
        <v>-1864</v>
      </c>
      <c r="J61" s="173">
        <f>IFERROR(I61/$C$41,"N/A")</f>
        <v>-58.25</v>
      </c>
      <c r="K61" s="171">
        <f t="shared" si="35"/>
        <v>-2160.8868744952001</v>
      </c>
      <c r="N61" s="6"/>
      <c r="O61" s="6"/>
      <c r="P61" s="131">
        <f>IF(ISNUMBER(-H61),-H61,0)</f>
        <v>-1864</v>
      </c>
      <c r="Q61" s="131">
        <f t="shared" ref="Q61:Z61" si="47">IFERROR(P61*(1+$D$21),0)</f>
        <v>-1919.92</v>
      </c>
      <c r="R61" s="131">
        <f t="shared" si="47"/>
        <v>-1977.5176000000001</v>
      </c>
      <c r="S61" s="131">
        <f t="shared" si="47"/>
        <v>-2036.8431280000002</v>
      </c>
      <c r="T61" s="131">
        <f t="shared" si="47"/>
        <v>-2097.9484218400003</v>
      </c>
      <c r="U61" s="131">
        <f t="shared" si="47"/>
        <v>-2160.8868744952001</v>
      </c>
      <c r="V61" s="131">
        <f t="shared" si="47"/>
        <v>-2225.7134807300563</v>
      </c>
      <c r="W61" s="131">
        <f t="shared" si="47"/>
        <v>-2292.4848851519582</v>
      </c>
      <c r="X61" s="131">
        <f t="shared" si="47"/>
        <v>-2361.2594317065168</v>
      </c>
      <c r="Y61" s="131">
        <f t="shared" si="47"/>
        <v>-2432.0972146577124</v>
      </c>
      <c r="Z61" s="131">
        <f t="shared" si="47"/>
        <v>-2505.0601310974439</v>
      </c>
      <c r="AA61" s="6"/>
      <c r="AB61" s="192"/>
      <c r="AC61" s="194"/>
      <c r="AD61" s="192"/>
    </row>
    <row r="62" spans="1:36" customFormat="1" ht="15" customHeight="1">
      <c r="B62" s="76" t="s">
        <v>34</v>
      </c>
      <c r="C62" s="197">
        <v>39200</v>
      </c>
      <c r="D62" s="211">
        <f>IFERROR(C62/$C$41,"N/A")</f>
        <v>1225</v>
      </c>
      <c r="F62" s="71" t="s">
        <v>68</v>
      </c>
      <c r="G62" s="69"/>
      <c r="H62" s="198"/>
      <c r="I62" s="167">
        <f t="shared" si="34"/>
        <v>-142311.18</v>
      </c>
      <c r="J62" s="225">
        <f>IFERROR(I62/$C$41,"N/A")</f>
        <v>-4447.2243749999998</v>
      </c>
      <c r="K62" s="168">
        <f t="shared" si="35"/>
        <v>-167942.70245939743</v>
      </c>
      <c r="O62" s="6"/>
      <c r="P62" s="28">
        <f t="shared" ref="P62:Z62" si="48">IF(AND(ISNUMBER($H$63),$H$63&gt;0),-P49*$H$63,SUM(P52:P61))</f>
        <v>-142311.18</v>
      </c>
      <c r="Q62" s="28">
        <f t="shared" si="48"/>
        <v>-147552.12292085891</v>
      </c>
      <c r="R62" s="28">
        <f t="shared" si="48"/>
        <v>-152652.99946284661</v>
      </c>
      <c r="S62" s="28">
        <f t="shared" si="48"/>
        <v>-157938.99584952</v>
      </c>
      <c r="T62" s="28">
        <f t="shared" si="48"/>
        <v>-162863.26319488083</v>
      </c>
      <c r="U62" s="28">
        <f t="shared" si="48"/>
        <v>-167942.70245939743</v>
      </c>
      <c r="V62" s="28">
        <f t="shared" si="48"/>
        <v>-173182.26655659635</v>
      </c>
      <c r="W62" s="28">
        <f t="shared" si="48"/>
        <v>-178587.06889764799</v>
      </c>
      <c r="X62" s="28">
        <f t="shared" si="48"/>
        <v>-184162.38868270526</v>
      </c>
      <c r="Y62" s="28">
        <f t="shared" si="48"/>
        <v>-189913.67637003941</v>
      </c>
      <c r="Z62" s="28">
        <f t="shared" si="48"/>
        <v>-195846.55932906765</v>
      </c>
      <c r="AA62" s="6"/>
      <c r="AB62" s="6"/>
      <c r="AC62" s="32"/>
    </row>
    <row r="63" spans="1:36" s="52" customFormat="1" ht="15" customHeight="1">
      <c r="B63" s="76" t="s">
        <v>66</v>
      </c>
      <c r="C63" s="212">
        <f>SUM(C61:C62)*10%</f>
        <v>35420</v>
      </c>
      <c r="D63" s="213">
        <f>IFERROR(C63/$C$41,"N/A")</f>
        <v>1106.875</v>
      </c>
      <c r="F63" s="76" t="s">
        <v>31</v>
      </c>
      <c r="G63" s="69"/>
      <c r="H63" s="228"/>
      <c r="I63" s="174">
        <f t="shared" si="34"/>
        <v>0.4445785052089386</v>
      </c>
      <c r="J63" s="174"/>
      <c r="K63" s="175">
        <f t="shared" si="35"/>
        <v>0.39021175945056108</v>
      </c>
      <c r="N63"/>
      <c r="O63" s="6"/>
      <c r="P63" s="132">
        <f t="shared" ref="P63:Z63" si="49">IFERROR(-P62/P49,0)</f>
        <v>0.4445785052089386</v>
      </c>
      <c r="Q63" s="132">
        <f t="shared" si="49"/>
        <v>0.42261730358455918</v>
      </c>
      <c r="R63" s="132">
        <f t="shared" si="49"/>
        <v>0.40914846833415119</v>
      </c>
      <c r="S63" s="132">
        <f t="shared" si="49"/>
        <v>0.39641293644958919</v>
      </c>
      <c r="T63" s="132">
        <f t="shared" si="49"/>
        <v>0.39329932343908652</v>
      </c>
      <c r="U63" s="132">
        <f t="shared" si="49"/>
        <v>0.39021175945056108</v>
      </c>
      <c r="V63" s="132">
        <f t="shared" si="49"/>
        <v>0.38715006126427559</v>
      </c>
      <c r="W63" s="132">
        <f t="shared" si="49"/>
        <v>0.38411404632303131</v>
      </c>
      <c r="X63" s="132">
        <f t="shared" si="49"/>
        <v>0.38110353274207542</v>
      </c>
      <c r="Y63" s="132">
        <f t="shared" si="49"/>
        <v>0.37811833931871819</v>
      </c>
      <c r="Z63" s="132">
        <f t="shared" si="49"/>
        <v>0.37515828554166031</v>
      </c>
      <c r="AA63" s="134"/>
      <c r="AB63" s="134"/>
      <c r="AC63" s="32"/>
    </row>
    <row r="64" spans="1:36" customFormat="1" ht="15" customHeight="1">
      <c r="B64" s="76" t="s">
        <v>40</v>
      </c>
      <c r="C64" s="214">
        <f>SUM(C61:C63)</f>
        <v>389620</v>
      </c>
      <c r="D64" s="211">
        <f>IFERROR(C64/$C$41,"N/A")</f>
        <v>12175.625</v>
      </c>
      <c r="F64" s="68" t="s">
        <v>29</v>
      </c>
      <c r="G64" s="69"/>
      <c r="H64" s="69"/>
      <c r="I64" s="176">
        <f t="shared" si="34"/>
        <v>177792.41999999998</v>
      </c>
      <c r="J64" s="177">
        <f t="shared" ref="J64:J68" si="50">IFERROR(I64/$C$41,"N/A")</f>
        <v>5556.0131249999995</v>
      </c>
      <c r="K64" s="178">
        <f t="shared" si="35"/>
        <v>262445.92215783527</v>
      </c>
      <c r="N64" s="52"/>
      <c r="O64" s="6"/>
      <c r="P64" s="28">
        <f t="shared" ref="P64:Z64" si="51">SUM(P49,P62)</f>
        <v>177792.41999999998</v>
      </c>
      <c r="Q64" s="28">
        <f t="shared" si="51"/>
        <v>201586.73549631902</v>
      </c>
      <c r="R64" s="28">
        <f t="shared" si="51"/>
        <v>220446.28179408587</v>
      </c>
      <c r="S64" s="28">
        <f t="shared" si="51"/>
        <v>240481.39190088</v>
      </c>
      <c r="T64" s="28">
        <f t="shared" si="51"/>
        <v>251231.68558553522</v>
      </c>
      <c r="U64" s="28">
        <f t="shared" si="51"/>
        <v>262445.92215783527</v>
      </c>
      <c r="V64" s="28">
        <f t="shared" si="51"/>
        <v>274143.67726749368</v>
      </c>
      <c r="W64" s="28">
        <f t="shared" si="51"/>
        <v>286345.34012823878</v>
      </c>
      <c r="X64" s="28">
        <f t="shared" si="51"/>
        <v>299072.14697651495</v>
      </c>
      <c r="Y64" s="28">
        <f t="shared" si="51"/>
        <v>312346.21589601663</v>
      </c>
      <c r="Z64" s="28">
        <f t="shared" si="51"/>
        <v>326190.58306351164</v>
      </c>
      <c r="AA64" s="6"/>
      <c r="AB64" s="6"/>
      <c r="AC64" s="33"/>
    </row>
    <row r="65" spans="1:29" customFormat="1" ht="15" customHeight="1">
      <c r="B65" s="76" t="s">
        <v>102</v>
      </c>
      <c r="C65" s="212">
        <f>D56</f>
        <v>0</v>
      </c>
      <c r="D65" s="213">
        <f>IFERROR(C65/$C$41,"N/A")</f>
        <v>0</v>
      </c>
      <c r="F65" s="76"/>
      <c r="G65" s="73"/>
      <c r="H65" s="73"/>
      <c r="I65" s="73"/>
      <c r="J65" s="225">
        <f t="shared" si="50"/>
        <v>0</v>
      </c>
      <c r="K65" s="79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32"/>
    </row>
    <row r="66" spans="1:29" customFormat="1" ht="15" customHeight="1">
      <c r="B66" s="77" t="s">
        <v>36</v>
      </c>
      <c r="C66" s="215">
        <f>SUM(C64:C65)</f>
        <v>389620</v>
      </c>
      <c r="D66" s="216">
        <f>IFERROR(C66/$C$41,"N/A")</f>
        <v>12175.625</v>
      </c>
      <c r="F66" s="76" t="s">
        <v>42</v>
      </c>
      <c r="G66" s="69"/>
      <c r="H66" s="69"/>
      <c r="I66" s="167">
        <f>INDEX($P66:$Z66,,MATCH(I$44,$P$43:$Z$43,0))</f>
        <v>-6402.0720000000001</v>
      </c>
      <c r="J66" s="225">
        <f t="shared" si="50"/>
        <v>-200.06475</v>
      </c>
      <c r="K66" s="168">
        <f>IFERROR(INDEX($P66:$Z66,,MATCH(K$44,$P$43:$Z$43,0)),0)</f>
        <v>-8607.7724923446549</v>
      </c>
      <c r="O66" s="6"/>
      <c r="P66" s="28">
        <f>IFERROR(-$C$55*P49,0)</f>
        <v>-6402.0720000000001</v>
      </c>
      <c r="Q66" s="28">
        <f t="shared" ref="Q66:Z66" si="52">IFERROR(-$C$55*Q49,0)</f>
        <v>-6982.7771683435585</v>
      </c>
      <c r="R66" s="28">
        <f t="shared" si="52"/>
        <v>-7461.98562513865</v>
      </c>
      <c r="S66" s="28">
        <f t="shared" si="52"/>
        <v>-7968.4077550080001</v>
      </c>
      <c r="T66" s="28">
        <f t="shared" si="52"/>
        <v>-8281.8989756083211</v>
      </c>
      <c r="U66" s="28">
        <f t="shared" si="52"/>
        <v>-8607.7724923446549</v>
      </c>
      <c r="V66" s="28">
        <f t="shared" si="52"/>
        <v>-8946.5188764817995</v>
      </c>
      <c r="W66" s="28">
        <f t="shared" si="52"/>
        <v>-9298.6481805177355</v>
      </c>
      <c r="X66" s="28">
        <f t="shared" si="52"/>
        <v>-9664.6907131844055</v>
      </c>
      <c r="Y66" s="28">
        <f t="shared" si="52"/>
        <v>-10045.197845321121</v>
      </c>
      <c r="Z66" s="28">
        <f t="shared" si="52"/>
        <v>-10440.742847851587</v>
      </c>
      <c r="AA66" s="6"/>
      <c r="AB66" s="6"/>
      <c r="AC66" s="33"/>
    </row>
    <row r="67" spans="1:29" customFormat="1" ht="15" customHeight="1">
      <c r="F67" s="76" t="s">
        <v>5</v>
      </c>
      <c r="G67" s="73"/>
      <c r="H67" s="228">
        <v>0.03</v>
      </c>
      <c r="I67" s="167">
        <f>INDEX($P67:$Z67,,MATCH(I$44,$P$43:$Z$43,0))</f>
        <v>-9603.1079999999984</v>
      </c>
      <c r="J67" s="225">
        <f t="shared" si="50"/>
        <v>-300.09712499999995</v>
      </c>
      <c r="K67" s="168">
        <f>IFERROR(INDEX($P67:$Z67,,MATCH(K$44,$P$43:$Z$43,0)),0)</f>
        <v>-12911.658738516981</v>
      </c>
      <c r="O67" s="6"/>
      <c r="P67" s="28">
        <f t="shared" ref="P67:Z67" si="53">IFERROR(-$H67*P49,0)</f>
        <v>-9603.1079999999984</v>
      </c>
      <c r="Q67" s="28">
        <f t="shared" si="53"/>
        <v>-10474.165752515337</v>
      </c>
      <c r="R67" s="28">
        <f t="shared" si="53"/>
        <v>-11192.978437707974</v>
      </c>
      <c r="S67" s="28">
        <f t="shared" si="53"/>
        <v>-11952.611632512</v>
      </c>
      <c r="T67" s="28">
        <f t="shared" si="53"/>
        <v>-12422.848463412482</v>
      </c>
      <c r="U67" s="28">
        <f t="shared" si="53"/>
        <v>-12911.658738516981</v>
      </c>
      <c r="V67" s="28">
        <f t="shared" si="53"/>
        <v>-13419.7783147227</v>
      </c>
      <c r="W67" s="28">
        <f t="shared" si="53"/>
        <v>-13947.972270776601</v>
      </c>
      <c r="X67" s="28">
        <f t="shared" si="53"/>
        <v>-14497.036069776606</v>
      </c>
      <c r="Y67" s="28">
        <f t="shared" si="53"/>
        <v>-15067.796767981681</v>
      </c>
      <c r="Z67" s="28">
        <f t="shared" si="53"/>
        <v>-15661.114271777378</v>
      </c>
      <c r="AA67" s="6"/>
      <c r="AB67" s="6"/>
      <c r="AC67" s="32"/>
    </row>
    <row r="68" spans="1:29" customFormat="1" ht="15" customHeight="1">
      <c r="B68" s="226" t="s">
        <v>121</v>
      </c>
      <c r="C68" s="58"/>
      <c r="D68" s="59"/>
      <c r="F68" s="71" t="s">
        <v>20</v>
      </c>
      <c r="G68" s="73"/>
      <c r="H68" s="73"/>
      <c r="I68" s="173">
        <f>INDEX($P68:$Z68,,MATCH(I$44,$P$43:$Z$43,0))</f>
        <v>-84656.25</v>
      </c>
      <c r="J68" s="173">
        <f t="shared" si="50"/>
        <v>-2645.5078125</v>
      </c>
      <c r="K68" s="171">
        <f>IFERROR(INDEX($P68:$Z68,,MATCH(K$44,$P$43:$Z$43,0)),0)</f>
        <v>-111841.49678508882</v>
      </c>
      <c r="O68" s="6"/>
      <c r="P68" s="131">
        <f>IF(P43&lt;=IF(ISNUMBER($D$48),$D$48,0),-$D$45*$D$46,IFERROR(PMT($D$46/12,($D$47-$D$48)*12,$D$45)*12,0))</f>
        <v>-84656.25</v>
      </c>
      <c r="Q68" s="131">
        <f t="shared" ref="Q68:Z68" si="54">IF(Q43&lt;=IF(ISNUMBER($D$48),$D$48,0),-$D$45*$D$46,IFERROR(PMT($D$46/12,($D$47-$D$48)*12,$D$45)*12,0))</f>
        <v>-84656.25</v>
      </c>
      <c r="R68" s="131">
        <f t="shared" si="54"/>
        <v>-84656.25</v>
      </c>
      <c r="S68" s="131">
        <f t="shared" si="54"/>
        <v>-111841.49678508882</v>
      </c>
      <c r="T68" s="131">
        <f t="shared" si="54"/>
        <v>-111841.49678508882</v>
      </c>
      <c r="U68" s="131">
        <f t="shared" si="54"/>
        <v>-111841.49678508882</v>
      </c>
      <c r="V68" s="131">
        <f t="shared" si="54"/>
        <v>-111841.49678508882</v>
      </c>
      <c r="W68" s="131">
        <f t="shared" si="54"/>
        <v>-111841.49678508882</v>
      </c>
      <c r="X68" s="131">
        <f t="shared" si="54"/>
        <v>-111841.49678508882</v>
      </c>
      <c r="Y68" s="131">
        <f t="shared" si="54"/>
        <v>-111841.49678508882</v>
      </c>
      <c r="Z68" s="131">
        <f t="shared" si="54"/>
        <v>-111841.49678508882</v>
      </c>
      <c r="AA68" s="6"/>
      <c r="AB68" s="6"/>
      <c r="AC68" s="32"/>
    </row>
    <row r="69" spans="1:29" customFormat="1" ht="15" customHeight="1">
      <c r="B69" s="229" t="s">
        <v>118</v>
      </c>
      <c r="C69" s="227" t="s">
        <v>119</v>
      </c>
      <c r="D69" s="246" t="s">
        <v>120</v>
      </c>
      <c r="F69" s="75" t="s">
        <v>32</v>
      </c>
      <c r="G69" s="97"/>
      <c r="H69" s="97"/>
      <c r="I69" s="176">
        <f>INDEX($P70:$Z70,,MATCH(I$44,$P$43:$Z$43,0))</f>
        <v>77130.989999999991</v>
      </c>
      <c r="J69" s="177">
        <f>IFERROR(I69/$C$41,"N/A")</f>
        <v>2410.3434374999997</v>
      </c>
      <c r="K69" s="178">
        <f>IFERROR(INDEX($P70:$Z70,,MATCH(K$44,$P$43:$Z$43,0)),0)</f>
        <v>129084.99414188482</v>
      </c>
      <c r="O69" s="6"/>
      <c r="P69" s="131"/>
      <c r="Q69" s="131"/>
      <c r="R69" s="131"/>
      <c r="S69" s="131"/>
      <c r="T69" s="131"/>
      <c r="U69" s="131"/>
      <c r="V69" s="131"/>
      <c r="W69" s="131"/>
      <c r="X69" s="131"/>
      <c r="Y69" s="131"/>
      <c r="Z69" s="131"/>
      <c r="AA69" s="6"/>
      <c r="AB69" s="6"/>
    </row>
    <row r="70" spans="1:29" s="6" customFormat="1" ht="15" customHeight="1">
      <c r="A70"/>
      <c r="B70" s="242"/>
      <c r="C70" s="230"/>
      <c r="D70" s="231"/>
      <c r="F70" s="81"/>
      <c r="G70" s="82"/>
      <c r="H70" s="232"/>
      <c r="I70" s="82"/>
      <c r="J70" s="82"/>
      <c r="K70" s="233"/>
      <c r="N70" t="s">
        <v>130</v>
      </c>
      <c r="P70" s="28">
        <f>SUM(P64,P66:P68)</f>
        <v>77130.989999999991</v>
      </c>
      <c r="Q70" s="28">
        <f t="shared" ref="Q70:Z70" si="55">SUM(Q64,Q66:Q68)</f>
        <v>99473.542575460102</v>
      </c>
      <c r="R70" s="28">
        <f t="shared" si="55"/>
        <v>117135.06773123925</v>
      </c>
      <c r="S70" s="28">
        <f t="shared" si="55"/>
        <v>108718.87572827117</v>
      </c>
      <c r="T70" s="28">
        <f t="shared" si="55"/>
        <v>118685.44136142559</v>
      </c>
      <c r="U70" s="28">
        <f t="shared" si="55"/>
        <v>129084.99414188482</v>
      </c>
      <c r="V70" s="28">
        <f t="shared" si="55"/>
        <v>139935.88329120036</v>
      </c>
      <c r="W70" s="28">
        <f t="shared" si="55"/>
        <v>151257.22289185566</v>
      </c>
      <c r="X70" s="28">
        <f t="shared" si="55"/>
        <v>163068.92340846508</v>
      </c>
      <c r="Y70" s="28">
        <f t="shared" si="55"/>
        <v>175391.72449762499</v>
      </c>
      <c r="Z70" s="28">
        <f t="shared" si="55"/>
        <v>188247.22915879384</v>
      </c>
    </row>
    <row r="71" spans="1:29" s="6" customFormat="1" ht="15" customHeight="1">
      <c r="A71"/>
      <c r="N71" s="6" t="s">
        <v>131</v>
      </c>
      <c r="O71" s="28"/>
      <c r="P71" s="132">
        <f t="shared" ref="P71:Z71" si="56">IFERROR(IF(P43&lt;=$D$15,P70/$C$75,""),"")</f>
        <v>7.1927402095407725E-2</v>
      </c>
      <c r="Q71" s="132">
        <f t="shared" si="56"/>
        <v>9.2762630100816534E-2</v>
      </c>
      <c r="R71" s="132">
        <f t="shared" si="56"/>
        <v>0.10923263290381291</v>
      </c>
      <c r="S71" s="132">
        <f t="shared" si="56"/>
        <v>0.10138423336544784</v>
      </c>
      <c r="T71" s="132">
        <f t="shared" si="56"/>
        <v>0.11067841166921615</v>
      </c>
      <c r="U71" s="132">
        <f t="shared" si="56"/>
        <v>0.12037636594741881</v>
      </c>
      <c r="V71" s="132" t="str">
        <f t="shared" si="56"/>
        <v/>
      </c>
      <c r="W71" s="132" t="str">
        <f t="shared" si="56"/>
        <v/>
      </c>
      <c r="X71" s="132" t="str">
        <f t="shared" si="56"/>
        <v/>
      </c>
      <c r="Y71" s="132" t="str">
        <f t="shared" si="56"/>
        <v/>
      </c>
      <c r="Z71" s="132" t="str">
        <f t="shared" si="56"/>
        <v/>
      </c>
    </row>
    <row r="72" spans="1:29" s="6" customFormat="1" ht="15" customHeight="1">
      <c r="A72"/>
      <c r="B72" s="57" t="s">
        <v>11</v>
      </c>
      <c r="C72" s="60"/>
      <c r="D72" s="58"/>
      <c r="E72" s="58"/>
      <c r="F72" s="58"/>
      <c r="G72" s="58"/>
      <c r="H72" s="58"/>
      <c r="I72" s="58"/>
      <c r="J72" s="58"/>
      <c r="K72" s="59"/>
      <c r="N72" s="6" t="s">
        <v>145</v>
      </c>
      <c r="O72" s="28"/>
      <c r="P72" s="249">
        <f>-P64/P68</f>
        <v>2.1001688593576966</v>
      </c>
      <c r="Q72" s="249">
        <f t="shared" ref="Q72:Z72" si="57">-Q64/Q68</f>
        <v>2.3812386621935064</v>
      </c>
      <c r="R72" s="249">
        <f t="shared" si="57"/>
        <v>2.6040166177226829</v>
      </c>
      <c r="S72" s="249">
        <f t="shared" si="57"/>
        <v>2.1501982610531551</v>
      </c>
      <c r="T72" s="249">
        <f t="shared" si="57"/>
        <v>2.2463190569444391</v>
      </c>
      <c r="U72" s="249">
        <f t="shared" si="57"/>
        <v>2.3465880706348492</v>
      </c>
      <c r="V72" s="249">
        <f t="shared" si="57"/>
        <v>2.4511803324152548</v>
      </c>
      <c r="W72" s="249">
        <f t="shared" si="57"/>
        <v>2.5602781468355271</v>
      </c>
      <c r="X72" s="249">
        <f t="shared" si="57"/>
        <v>2.6740713918663195</v>
      </c>
      <c r="Y72" s="249">
        <f t="shared" si="57"/>
        <v>2.7927578302730649</v>
      </c>
      <c r="Z72" s="249">
        <f t="shared" si="57"/>
        <v>2.9165434336980436</v>
      </c>
    </row>
    <row r="73" spans="1:29" s="6" customFormat="1" ht="15" customHeight="1">
      <c r="A73"/>
      <c r="B73" s="37" t="s">
        <v>12</v>
      </c>
      <c r="C73" s="7" t="s">
        <v>8</v>
      </c>
      <c r="D73" s="7" t="s">
        <v>7</v>
      </c>
      <c r="E73" s="7"/>
      <c r="F73" s="7" t="s">
        <v>6</v>
      </c>
      <c r="G73"/>
      <c r="H73" s="38" t="s">
        <v>13</v>
      </c>
      <c r="I73" s="7" t="s">
        <v>8</v>
      </c>
      <c r="J73" s="7" t="s">
        <v>7</v>
      </c>
      <c r="K73" s="39" t="s">
        <v>6</v>
      </c>
      <c r="O73" s="31">
        <v>0</v>
      </c>
      <c r="P73" s="31">
        <f>O73+1</f>
        <v>1</v>
      </c>
      <c r="Q73" s="31">
        <f>P73+1</f>
        <v>2</v>
      </c>
      <c r="R73" s="31">
        <f t="shared" ref="R73" si="58">Q73+1</f>
        <v>3</v>
      </c>
      <c r="S73" s="31">
        <f t="shared" ref="S73" si="59">R73+1</f>
        <v>4</v>
      </c>
      <c r="T73" s="31">
        <f t="shared" ref="T73" si="60">S73+1</f>
        <v>5</v>
      </c>
      <c r="U73" s="31">
        <f t="shared" ref="U73" si="61">T73+1</f>
        <v>6</v>
      </c>
      <c r="V73" s="31">
        <f t="shared" ref="V73" si="62">U73+1</f>
        <v>7</v>
      </c>
      <c r="W73" s="31">
        <f t="shared" ref="W73" si="63">V73+1</f>
        <v>8</v>
      </c>
      <c r="X73" s="31">
        <f t="shared" ref="X73" si="64">W73+1</f>
        <v>9</v>
      </c>
      <c r="Y73" s="31">
        <f t="shared" ref="Y73" si="65">X73+1</f>
        <v>10</v>
      </c>
    </row>
    <row r="74" spans="1:29" s="6" customFormat="1" ht="15" customHeight="1">
      <c r="A74"/>
      <c r="B74" s="40" t="s">
        <v>19</v>
      </c>
      <c r="C74" s="12">
        <f>D45</f>
        <v>1612500</v>
      </c>
      <c r="D74" s="41">
        <f>IFERROR(C74/$C$41,"N/A")</f>
        <v>50390.625</v>
      </c>
      <c r="E74" s="12"/>
      <c r="F74" s="35">
        <f>IFERROR(C74/$C$79,0)</f>
        <v>0.60059333034123008</v>
      </c>
      <c r="G74"/>
      <c r="H74" s="42" t="s">
        <v>4</v>
      </c>
      <c r="I74" s="41">
        <f>IF(ISNUMBER(D11),D11,0)</f>
        <v>2150000</v>
      </c>
      <c r="J74" s="41">
        <f>IFERROR(I74/$C$41,"N/A")</f>
        <v>67187.5</v>
      </c>
      <c r="K74" s="43">
        <f>IFERROR(I74/$I$79,0)</f>
        <v>0.80079110712164014</v>
      </c>
      <c r="N74" s="6" t="s">
        <v>122</v>
      </c>
      <c r="O74"/>
      <c r="P74" s="234">
        <f t="shared" ref="P74:Y74" si="66">(P73&lt;=$D$15)*P70</f>
        <v>77130.989999999991</v>
      </c>
      <c r="Q74" s="234">
        <f t="shared" si="66"/>
        <v>99473.542575460102</v>
      </c>
      <c r="R74" s="234">
        <f t="shared" si="66"/>
        <v>117135.06773123925</v>
      </c>
      <c r="S74" s="234">
        <f t="shared" si="66"/>
        <v>108718.87572827117</v>
      </c>
      <c r="T74" s="234">
        <f t="shared" si="66"/>
        <v>118685.44136142559</v>
      </c>
      <c r="U74" s="234">
        <f t="shared" si="66"/>
        <v>129084.99414188482</v>
      </c>
      <c r="V74" s="234">
        <f t="shared" si="66"/>
        <v>0</v>
      </c>
      <c r="W74" s="234">
        <f t="shared" si="66"/>
        <v>0</v>
      </c>
      <c r="X74" s="234">
        <f t="shared" si="66"/>
        <v>0</v>
      </c>
      <c r="Y74" s="234">
        <f t="shared" si="66"/>
        <v>0</v>
      </c>
    </row>
    <row r="75" spans="1:29" s="6" customFormat="1" ht="15" customHeight="1">
      <c r="A75"/>
      <c r="B75" s="40" t="s">
        <v>9</v>
      </c>
      <c r="C75" s="23">
        <f>I79-C74</f>
        <v>1072345</v>
      </c>
      <c r="D75" s="16">
        <f>IFERROR(C75/$C$41,"N/A")</f>
        <v>33510.78125</v>
      </c>
      <c r="E75" s="23"/>
      <c r="F75" s="44">
        <f>IFERROR(C75/$C$79,0)</f>
        <v>0.39940666965876986</v>
      </c>
      <c r="G75"/>
      <c r="H75" t="s">
        <v>59</v>
      </c>
      <c r="I75" s="13">
        <f>C66</f>
        <v>389620</v>
      </c>
      <c r="J75" s="41">
        <f>IFERROR(I75/$C$41,"N/A")</f>
        <v>12175.625</v>
      </c>
      <c r="K75" s="43">
        <f>IFERROR(I75/$I$79,0)</f>
        <v>0.14511824704964346</v>
      </c>
      <c r="M75" s="133"/>
      <c r="N75" t="s">
        <v>123</v>
      </c>
      <c r="O75"/>
      <c r="P75" s="235">
        <f>(P73=$D$15)*$K$16</f>
        <v>0</v>
      </c>
      <c r="Q75" s="235">
        <f t="shared" ref="Q75:Y75" si="67">(Q73=$D$15)*$K$16</f>
        <v>0</v>
      </c>
      <c r="R75" s="235">
        <f t="shared" si="67"/>
        <v>0</v>
      </c>
      <c r="S75" s="235">
        <f t="shared" si="67"/>
        <v>0</v>
      </c>
      <c r="T75" s="235">
        <f t="shared" si="67"/>
        <v>0</v>
      </c>
      <c r="U75" s="235">
        <f t="shared" si="67"/>
        <v>3723004.2132564671</v>
      </c>
      <c r="V75" s="235">
        <f t="shared" si="67"/>
        <v>0</v>
      </c>
      <c r="W75" s="235">
        <f t="shared" si="67"/>
        <v>0</v>
      </c>
      <c r="X75" s="235">
        <f t="shared" si="67"/>
        <v>0</v>
      </c>
      <c r="Y75" s="235">
        <f t="shared" si="67"/>
        <v>0</v>
      </c>
    </row>
    <row r="76" spans="1:29" s="6" customFormat="1" ht="15" customHeight="1">
      <c r="A76"/>
      <c r="B76" s="11"/>
      <c r="C76"/>
      <c r="D76" s="12"/>
      <c r="E76" s="12"/>
      <c r="F76" s="35"/>
      <c r="G76"/>
      <c r="H76" s="42" t="s">
        <v>5</v>
      </c>
      <c r="I76" s="41">
        <f>IF(ISNUMBER(D14),D14,0)</f>
        <v>21600</v>
      </c>
      <c r="J76" s="41">
        <f>IFERROR(I76/$C$41,"N/A")</f>
        <v>675</v>
      </c>
      <c r="K76" s="43">
        <f>IFERROR(I76/$I$79,0)</f>
        <v>8.0451571692220589E-3</v>
      </c>
      <c r="M76" s="134"/>
      <c r="N76" t="s">
        <v>3</v>
      </c>
      <c r="O76" s="234">
        <f>-C75</f>
        <v>-1072345</v>
      </c>
      <c r="P76" s="234">
        <f>SUM(P74:P75)</f>
        <v>77130.989999999991</v>
      </c>
      <c r="Q76" s="234">
        <f t="shared" ref="Q76:Y76" si="68">SUM(Q74:Q75)</f>
        <v>99473.542575460102</v>
      </c>
      <c r="R76" s="234">
        <f t="shared" si="68"/>
        <v>117135.06773123925</v>
      </c>
      <c r="S76" s="234">
        <f t="shared" si="68"/>
        <v>108718.87572827117</v>
      </c>
      <c r="T76" s="234">
        <f t="shared" si="68"/>
        <v>118685.44136142559</v>
      </c>
      <c r="U76" s="234">
        <f t="shared" si="68"/>
        <v>3852089.2073983517</v>
      </c>
      <c r="V76" s="234">
        <f t="shared" si="68"/>
        <v>0</v>
      </c>
      <c r="W76" s="234">
        <f t="shared" si="68"/>
        <v>0</v>
      </c>
      <c r="X76" s="234">
        <f t="shared" si="68"/>
        <v>0</v>
      </c>
      <c r="Y76" s="234">
        <f t="shared" si="68"/>
        <v>0</v>
      </c>
    </row>
    <row r="77" spans="1:29" customFormat="1" ht="15" customHeight="1">
      <c r="B77" s="11"/>
      <c r="H77" s="42" t="s">
        <v>60</v>
      </c>
      <c r="I77" s="41">
        <f>IFERROR($D$54,0)</f>
        <v>43000</v>
      </c>
      <c r="J77" s="41">
        <f>IFERROR(I77/$C$41,"N/A")</f>
        <v>1343.75</v>
      </c>
      <c r="K77" s="43">
        <f>IFERROR(I77/$I$79,0)</f>
        <v>1.6015822142432804E-2</v>
      </c>
      <c r="L77" s="6"/>
      <c r="M77" s="6"/>
      <c r="N77" s="6" t="s">
        <v>44</v>
      </c>
      <c r="O77" s="239">
        <f>IFERROR(IRR(O76:Y76),"-")</f>
        <v>0.29232500251916105</v>
      </c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9" customFormat="1" ht="15" customHeight="1">
      <c r="B78" s="11"/>
      <c r="H78" s="42" t="s">
        <v>15</v>
      </c>
      <c r="I78" s="16">
        <f>IF(ISNUMBER(D13),D13,0)</f>
        <v>80625</v>
      </c>
      <c r="J78" s="16">
        <f>IFERROR(I78/$C$41,"N/A")</f>
        <v>2519.53125</v>
      </c>
      <c r="K78" s="45">
        <f>IFERROR(I78/$I$79,0)</f>
        <v>3.0029666517061505E-2</v>
      </c>
      <c r="L78" s="6"/>
      <c r="M78" s="6"/>
      <c r="AA78" s="6"/>
      <c r="AB78" s="6"/>
    </row>
    <row r="79" spans="1:29" customFormat="1" ht="15" customHeight="1">
      <c r="B79" s="46" t="s">
        <v>3</v>
      </c>
      <c r="C79" s="47">
        <f>SUM(C74:C75)</f>
        <v>2684845</v>
      </c>
      <c r="D79" s="47">
        <f>SUM(D74:D75)</f>
        <v>83901.40625</v>
      </c>
      <c r="E79" s="47"/>
      <c r="F79" s="48">
        <f>SUM(F74:F75)</f>
        <v>1</v>
      </c>
      <c r="G79" s="36"/>
      <c r="H79" s="49" t="s">
        <v>3</v>
      </c>
      <c r="I79" s="50">
        <f>SUM(I74:I78)</f>
        <v>2684845</v>
      </c>
      <c r="J79" s="50">
        <f>SUM(J74:J78)</f>
        <v>83901.40625</v>
      </c>
      <c r="K79" s="51">
        <f>SUM(K74:K78)</f>
        <v>1</v>
      </c>
      <c r="L79" s="6"/>
      <c r="M79" s="6"/>
      <c r="N79" s="6" t="s">
        <v>126</v>
      </c>
      <c r="P79" s="234">
        <f>(P73&lt;=$D$15)*MIN($D$53*$C$75,P74)</f>
        <v>77130.989999999991</v>
      </c>
      <c r="Q79" s="234">
        <f t="shared" ref="Q79:Y79" si="69">(Q73&lt;=$D$15)*MIN($D$53*$C$75,Q74)</f>
        <v>85787.6</v>
      </c>
      <c r="R79" s="234">
        <f t="shared" si="69"/>
        <v>85787.6</v>
      </c>
      <c r="S79" s="234">
        <f t="shared" si="69"/>
        <v>85787.6</v>
      </c>
      <c r="T79" s="234">
        <f t="shared" si="69"/>
        <v>85787.6</v>
      </c>
      <c r="U79" s="234">
        <f t="shared" si="69"/>
        <v>85787.6</v>
      </c>
      <c r="V79" s="234">
        <f t="shared" si="69"/>
        <v>0</v>
      </c>
      <c r="W79" s="234">
        <f t="shared" si="69"/>
        <v>0</v>
      </c>
      <c r="X79" s="234">
        <f t="shared" si="69"/>
        <v>0</v>
      </c>
      <c r="Y79" s="234">
        <f t="shared" si="69"/>
        <v>0</v>
      </c>
      <c r="AA79" s="6"/>
      <c r="AB79" s="6"/>
    </row>
    <row r="80" spans="1:29" ht="15" customHeight="1">
      <c r="B80"/>
      <c r="C80"/>
      <c r="D80"/>
      <c r="E80"/>
      <c r="F80"/>
      <c r="G80"/>
      <c r="H80"/>
      <c r="I80"/>
      <c r="J80"/>
      <c r="K80"/>
      <c r="M80" s="6"/>
      <c r="N80" s="6" t="s">
        <v>127</v>
      </c>
      <c r="O80"/>
      <c r="P80" s="234">
        <f>AND(P73=$D$15,$D$53&gt;0)*MIN($C$75,P75)</f>
        <v>0</v>
      </c>
      <c r="Q80" s="234">
        <f t="shared" ref="Q80:Y80" si="70">AND(Q73=$D$15,$D$53&gt;0)*MIN($C$75,Q75)</f>
        <v>0</v>
      </c>
      <c r="R80" s="234">
        <f t="shared" si="70"/>
        <v>0</v>
      </c>
      <c r="S80" s="234">
        <f t="shared" si="70"/>
        <v>0</v>
      </c>
      <c r="T80" s="234">
        <f t="shared" si="70"/>
        <v>0</v>
      </c>
      <c r="U80" s="234">
        <f t="shared" si="70"/>
        <v>1072345</v>
      </c>
      <c r="V80" s="234">
        <f t="shared" si="70"/>
        <v>0</v>
      </c>
      <c r="W80" s="234">
        <f t="shared" si="70"/>
        <v>0</v>
      </c>
      <c r="X80" s="234">
        <f t="shared" si="70"/>
        <v>0</v>
      </c>
      <c r="Y80" s="234">
        <f t="shared" si="70"/>
        <v>0</v>
      </c>
      <c r="Z80"/>
    </row>
    <row r="81" spans="6:29" ht="15" customHeight="1">
      <c r="F81" s="101"/>
      <c r="G81" s="101"/>
      <c r="H81" s="102"/>
      <c r="I81" s="103"/>
      <c r="J81" s="103"/>
      <c r="K81" s="154" t="s">
        <v>105</v>
      </c>
      <c r="L81" s="104"/>
      <c r="M81" s="6"/>
      <c r="N81"/>
      <c r="O81"/>
      <c r="P81"/>
      <c r="Q81"/>
      <c r="R81"/>
      <c r="S81"/>
      <c r="T81"/>
      <c r="U81"/>
      <c r="V81"/>
      <c r="W81"/>
      <c r="X81"/>
      <c r="Y81"/>
      <c r="AA81" s="135"/>
      <c r="AB81" s="135"/>
      <c r="AC81" s="101"/>
    </row>
    <row r="82" spans="6:29" ht="15" customHeight="1">
      <c r="F82" s="101"/>
      <c r="G82" s="101"/>
      <c r="H82" s="105"/>
      <c r="I82" s="106"/>
      <c r="J82" s="107"/>
      <c r="K82" s="108"/>
      <c r="L82" s="108"/>
      <c r="M82" s="6"/>
      <c r="N82" s="6" t="s">
        <v>136</v>
      </c>
      <c r="O82"/>
      <c r="P82" s="234">
        <f>(P73&lt;=$D$15)*$C$75*$D$53</f>
        <v>85787.6</v>
      </c>
      <c r="Q82" s="234">
        <f t="shared" ref="Q82:Y82" si="71">(Q73&lt;=$D$15)*$C$75*$D$53</f>
        <v>85787.6</v>
      </c>
      <c r="R82" s="234">
        <f t="shared" si="71"/>
        <v>85787.6</v>
      </c>
      <c r="S82" s="234">
        <f t="shared" si="71"/>
        <v>85787.6</v>
      </c>
      <c r="T82" s="234">
        <f t="shared" si="71"/>
        <v>85787.6</v>
      </c>
      <c r="U82" s="234">
        <f t="shared" si="71"/>
        <v>85787.6</v>
      </c>
      <c r="V82" s="234">
        <f t="shared" si="71"/>
        <v>0</v>
      </c>
      <c r="W82" s="234">
        <f t="shared" si="71"/>
        <v>0</v>
      </c>
      <c r="X82" s="234">
        <f t="shared" si="71"/>
        <v>0</v>
      </c>
      <c r="Y82" s="234">
        <f t="shared" si="71"/>
        <v>0</v>
      </c>
      <c r="Z82" s="6"/>
      <c r="AA82" s="135"/>
      <c r="AB82" s="135"/>
      <c r="AC82" s="101"/>
    </row>
    <row r="83" spans="6:29" ht="15" customHeight="1">
      <c r="F83" s="101"/>
      <c r="G83" s="101"/>
      <c r="H83" s="109"/>
      <c r="I83" s="109"/>
      <c r="J83" s="109"/>
      <c r="K83" s="110"/>
      <c r="L83" s="96"/>
      <c r="M83" s="6"/>
      <c r="N83" s="6" t="s">
        <v>137</v>
      </c>
      <c r="O83"/>
      <c r="P83" s="234">
        <f>AND(P73=$D$15,$D$53&gt;0)*$C$75</f>
        <v>0</v>
      </c>
      <c r="Q83" s="234">
        <f t="shared" ref="Q83:Y83" si="72">AND(Q73=$D$15,$D$53&gt;0)*$C$75</f>
        <v>0</v>
      </c>
      <c r="R83" s="234">
        <f t="shared" si="72"/>
        <v>0</v>
      </c>
      <c r="S83" s="234">
        <f t="shared" si="72"/>
        <v>0</v>
      </c>
      <c r="T83" s="234">
        <f t="shared" si="72"/>
        <v>0</v>
      </c>
      <c r="U83" s="234">
        <f t="shared" si="72"/>
        <v>1072345</v>
      </c>
      <c r="V83" s="234">
        <f t="shared" si="72"/>
        <v>0</v>
      </c>
      <c r="W83" s="234">
        <f t="shared" si="72"/>
        <v>0</v>
      </c>
      <c r="X83" s="234">
        <f t="shared" si="72"/>
        <v>0</v>
      </c>
      <c r="Y83" s="234">
        <f t="shared" si="72"/>
        <v>0</v>
      </c>
      <c r="Z83" s="6"/>
      <c r="AA83" s="135"/>
      <c r="AB83" s="135"/>
      <c r="AC83" s="101"/>
    </row>
    <row r="84" spans="6:29" ht="15" customHeight="1">
      <c r="F84" s="101"/>
      <c r="G84" s="101"/>
      <c r="H84" s="109"/>
      <c r="I84" s="109"/>
      <c r="J84" s="111"/>
      <c r="K84" s="110"/>
      <c r="L84" s="96"/>
      <c r="M84" s="6"/>
      <c r="Z84" s="6"/>
      <c r="AA84" s="135"/>
      <c r="AB84" s="135"/>
      <c r="AC84" s="101"/>
    </row>
    <row r="85" spans="6:29" ht="15" customHeight="1">
      <c r="F85" s="101"/>
      <c r="G85" s="101"/>
      <c r="H85" s="109"/>
      <c r="I85" s="112"/>
      <c r="J85" s="113"/>
      <c r="K85" s="110"/>
      <c r="L85" s="96"/>
      <c r="M85" s="6"/>
      <c r="N85" t="s">
        <v>124</v>
      </c>
      <c r="O85"/>
      <c r="P85" s="234">
        <f t="shared" ref="P85:Y85" si="73">MAX(P74-P79,0)</f>
        <v>0</v>
      </c>
      <c r="Q85" s="234">
        <f t="shared" si="73"/>
        <v>13685.942575460096</v>
      </c>
      <c r="R85" s="234">
        <f t="shared" si="73"/>
        <v>31347.467731239245</v>
      </c>
      <c r="S85" s="234">
        <f t="shared" si="73"/>
        <v>22931.275728271168</v>
      </c>
      <c r="T85" s="234">
        <f t="shared" si="73"/>
        <v>32897.841361425584</v>
      </c>
      <c r="U85" s="234">
        <f t="shared" si="73"/>
        <v>43297.394141884812</v>
      </c>
      <c r="V85" s="234">
        <f t="shared" si="73"/>
        <v>0</v>
      </c>
      <c r="W85" s="234">
        <f t="shared" si="73"/>
        <v>0</v>
      </c>
      <c r="X85" s="234">
        <f t="shared" si="73"/>
        <v>0</v>
      </c>
      <c r="Y85" s="234">
        <f t="shared" si="73"/>
        <v>0</v>
      </c>
      <c r="Z85" s="6"/>
      <c r="AA85" s="135"/>
      <c r="AB85" s="135"/>
      <c r="AC85" s="101"/>
    </row>
    <row r="86" spans="6:29" ht="15" customHeight="1">
      <c r="F86" s="101"/>
      <c r="G86" s="101"/>
      <c r="H86" s="109"/>
      <c r="I86" s="109"/>
      <c r="J86" s="114"/>
      <c r="K86" s="115"/>
      <c r="L86" s="116"/>
      <c r="M86" s="6"/>
      <c r="N86" s="6" t="s">
        <v>125</v>
      </c>
      <c r="O86"/>
      <c r="P86" s="234">
        <f t="shared" ref="P86:Y86" si="74">MAX(P75-P80,0)</f>
        <v>0</v>
      </c>
      <c r="Q86" s="234">
        <f t="shared" si="74"/>
        <v>0</v>
      </c>
      <c r="R86" s="234">
        <f t="shared" si="74"/>
        <v>0</v>
      </c>
      <c r="S86" s="234">
        <f t="shared" si="74"/>
        <v>0</v>
      </c>
      <c r="T86" s="234">
        <f t="shared" si="74"/>
        <v>0</v>
      </c>
      <c r="U86" s="234">
        <f t="shared" si="74"/>
        <v>2650659.2132564671</v>
      </c>
      <c r="V86" s="234">
        <f t="shared" si="74"/>
        <v>0</v>
      </c>
      <c r="W86" s="234">
        <f t="shared" si="74"/>
        <v>0</v>
      </c>
      <c r="X86" s="234">
        <f t="shared" si="74"/>
        <v>0</v>
      </c>
      <c r="Y86" s="234">
        <f t="shared" si="74"/>
        <v>0</v>
      </c>
      <c r="Z86" s="6"/>
      <c r="AA86" s="135"/>
      <c r="AB86" s="135"/>
      <c r="AC86" s="101"/>
    </row>
    <row r="87" spans="6:29" ht="15" customHeight="1">
      <c r="F87" s="101"/>
      <c r="G87" s="101"/>
      <c r="H87" s="109"/>
      <c r="I87" s="118"/>
      <c r="J87" s="109"/>
      <c r="K87" s="110"/>
      <c r="L87" s="96"/>
      <c r="N87"/>
      <c r="O87"/>
      <c r="P87"/>
      <c r="Q87"/>
      <c r="R87"/>
      <c r="S87"/>
      <c r="T87"/>
      <c r="U87"/>
      <c r="V87"/>
      <c r="W87"/>
      <c r="X87"/>
      <c r="Y87"/>
      <c r="Z87" s="6"/>
      <c r="AA87" s="135"/>
      <c r="AB87" s="135"/>
      <c r="AC87" s="101"/>
    </row>
    <row r="88" spans="6:29" ht="15" customHeight="1">
      <c r="F88" s="101"/>
      <c r="G88" s="101"/>
      <c r="H88" s="109"/>
      <c r="I88" s="109"/>
      <c r="J88" s="109"/>
      <c r="K88" s="109"/>
      <c r="L88" s="109"/>
      <c r="N88" s="6" t="s">
        <v>128</v>
      </c>
      <c r="P88" s="234">
        <f t="shared" ref="P88:Y88" si="75">P79+$D$52*P85</f>
        <v>77130.989999999991</v>
      </c>
      <c r="Q88" s="234">
        <f t="shared" si="75"/>
        <v>95367.759802822067</v>
      </c>
      <c r="R88" s="234">
        <f t="shared" si="75"/>
        <v>107730.82741186747</v>
      </c>
      <c r="S88" s="234">
        <f t="shared" si="75"/>
        <v>101839.49300978982</v>
      </c>
      <c r="T88" s="234">
        <f t="shared" si="75"/>
        <v>108816.08895299792</v>
      </c>
      <c r="U88" s="234">
        <f t="shared" si="75"/>
        <v>116095.77589931937</v>
      </c>
      <c r="V88" s="234">
        <f t="shared" si="75"/>
        <v>0</v>
      </c>
      <c r="W88" s="234">
        <f t="shared" si="75"/>
        <v>0</v>
      </c>
      <c r="X88" s="234">
        <f t="shared" si="75"/>
        <v>0</v>
      </c>
      <c r="Y88" s="234">
        <f t="shared" si="75"/>
        <v>0</v>
      </c>
      <c r="Z88" s="31"/>
      <c r="AA88" s="135"/>
      <c r="AB88" s="135"/>
      <c r="AC88" s="101"/>
    </row>
    <row r="89" spans="6:29" ht="15" customHeight="1">
      <c r="F89" s="101"/>
      <c r="G89" s="101"/>
      <c r="H89" s="119"/>
      <c r="I89" s="94"/>
      <c r="J89" s="94"/>
      <c r="K89" s="94"/>
      <c r="L89" s="94"/>
      <c r="N89" s="6" t="s">
        <v>129</v>
      </c>
      <c r="O89"/>
      <c r="P89" s="235">
        <f t="shared" ref="P89:Y89" si="76">P80+P86*$D$52+AND(P73=$D$15,$D$53&gt;0)*MAX(SUM($P$82:$Y$83)-SUM($P$79:$Y$80),0)</f>
        <v>0</v>
      </c>
      <c r="Q89" s="235">
        <f t="shared" si="76"/>
        <v>0</v>
      </c>
      <c r="R89" s="235">
        <f t="shared" si="76"/>
        <v>0</v>
      </c>
      <c r="S89" s="235">
        <f t="shared" si="76"/>
        <v>0</v>
      </c>
      <c r="T89" s="235">
        <f t="shared" si="76"/>
        <v>0</v>
      </c>
      <c r="U89" s="235">
        <f t="shared" si="76"/>
        <v>2936463.0592795275</v>
      </c>
      <c r="V89" s="235">
        <f t="shared" si="76"/>
        <v>0</v>
      </c>
      <c r="W89" s="235">
        <f t="shared" si="76"/>
        <v>0</v>
      </c>
      <c r="X89" s="235">
        <f t="shared" si="76"/>
        <v>0</v>
      </c>
      <c r="Y89" s="235">
        <f t="shared" si="76"/>
        <v>0</v>
      </c>
      <c r="Z89" s="28"/>
      <c r="AA89" s="135"/>
      <c r="AB89" s="135"/>
      <c r="AC89" s="101"/>
    </row>
    <row r="90" spans="6:29" ht="15" customHeight="1">
      <c r="F90" s="101"/>
      <c r="G90" s="101"/>
      <c r="H90" s="109"/>
      <c r="I90" s="109"/>
      <c r="J90" s="113"/>
      <c r="K90" s="110"/>
      <c r="L90" s="96"/>
      <c r="N90" s="6" t="s">
        <v>132</v>
      </c>
      <c r="O90" s="234">
        <f>-C75</f>
        <v>-1072345</v>
      </c>
      <c r="P90" s="234">
        <f>SUM(P88:P89)</f>
        <v>77130.989999999991</v>
      </c>
      <c r="Q90" s="234">
        <f t="shared" ref="Q90:Y90" si="77">SUM(Q88:Q89)</f>
        <v>95367.759802822067</v>
      </c>
      <c r="R90" s="234">
        <f t="shared" si="77"/>
        <v>107730.82741186747</v>
      </c>
      <c r="S90" s="234">
        <f t="shared" si="77"/>
        <v>101839.49300978982</v>
      </c>
      <c r="T90" s="234">
        <f t="shared" si="77"/>
        <v>108816.08895299792</v>
      </c>
      <c r="U90" s="234">
        <f t="shared" si="77"/>
        <v>3052558.835178847</v>
      </c>
      <c r="V90" s="234">
        <f t="shared" si="77"/>
        <v>0</v>
      </c>
      <c r="W90" s="234">
        <f t="shared" si="77"/>
        <v>0</v>
      </c>
      <c r="X90" s="234">
        <f t="shared" si="77"/>
        <v>0</v>
      </c>
      <c r="Y90" s="234">
        <f t="shared" si="77"/>
        <v>0</v>
      </c>
      <c r="Z90" s="6"/>
      <c r="AA90" s="135"/>
      <c r="AB90" s="135"/>
      <c r="AC90" s="101"/>
    </row>
    <row r="91" spans="6:29" ht="15" customHeight="1">
      <c r="F91" s="101"/>
      <c r="G91" s="101"/>
      <c r="H91" s="109"/>
      <c r="I91" s="94"/>
      <c r="J91" s="114"/>
      <c r="K91" s="110"/>
      <c r="L91" s="96"/>
      <c r="N91" s="6" t="s">
        <v>131</v>
      </c>
      <c r="O91" s="6"/>
      <c r="P91" s="132">
        <f t="shared" ref="P91:Y91" si="78">IFERROR(IF(P73&lt;=$D$15,P88/$C$75,""),"")</f>
        <v>7.1927402095407725E-2</v>
      </c>
      <c r="Q91" s="132">
        <f t="shared" si="78"/>
        <v>8.8933841070571562E-2</v>
      </c>
      <c r="R91" s="132">
        <f t="shared" si="78"/>
        <v>0.10046284303266903</v>
      </c>
      <c r="S91" s="132">
        <f t="shared" si="78"/>
        <v>9.4968963355813493E-2</v>
      </c>
      <c r="T91" s="132">
        <f t="shared" si="78"/>
        <v>0.10147488816845131</v>
      </c>
      <c r="U91" s="132">
        <f t="shared" si="78"/>
        <v>0.10826345616319316</v>
      </c>
      <c r="V91" s="132" t="str">
        <f t="shared" si="78"/>
        <v/>
      </c>
      <c r="W91" s="132" t="str">
        <f t="shared" si="78"/>
        <v/>
      </c>
      <c r="X91" s="132" t="str">
        <f t="shared" si="78"/>
        <v/>
      </c>
      <c r="Y91" s="132" t="str">
        <f t="shared" si="78"/>
        <v/>
      </c>
      <c r="Z91" s="6"/>
      <c r="AA91" s="135"/>
      <c r="AB91" s="135"/>
      <c r="AC91" s="101"/>
    </row>
    <row r="92" spans="6:29" ht="15" customHeight="1">
      <c r="F92" s="101"/>
      <c r="G92" s="101"/>
      <c r="H92" s="109"/>
      <c r="I92" s="94"/>
      <c r="J92" s="114"/>
      <c r="K92" s="110"/>
      <c r="L92" s="96"/>
      <c r="N92" s="6" t="s">
        <v>44</v>
      </c>
      <c r="O92" s="240">
        <f>IFERROR(IRR(O90:Y90),"-")</f>
        <v>0.24620249109276227</v>
      </c>
      <c r="P92" s="6"/>
      <c r="Q92" s="28"/>
      <c r="R92" s="28"/>
      <c r="S92" s="28"/>
      <c r="T92" s="28"/>
      <c r="U92" s="28"/>
      <c r="V92" s="28"/>
      <c r="W92" s="28"/>
      <c r="X92" s="28"/>
      <c r="Y92" s="28"/>
      <c r="Z92" s="6"/>
      <c r="AA92" s="135"/>
      <c r="AB92" s="135"/>
      <c r="AC92" s="101"/>
    </row>
    <row r="93" spans="6:29" ht="15" customHeight="1">
      <c r="F93" s="101"/>
      <c r="G93" s="101"/>
      <c r="H93" s="109"/>
      <c r="I93" s="94"/>
      <c r="J93" s="114"/>
      <c r="K93" s="110"/>
      <c r="L93" s="96"/>
      <c r="Z93" s="6"/>
      <c r="AA93" s="135"/>
      <c r="AB93" s="135"/>
      <c r="AC93" s="101"/>
    </row>
    <row r="94" spans="6:29" ht="15" customHeight="1">
      <c r="F94" s="101"/>
      <c r="G94" s="101"/>
      <c r="H94" s="109"/>
      <c r="I94" s="106"/>
      <c r="J94" s="114"/>
      <c r="K94" s="110"/>
      <c r="L94" s="96"/>
      <c r="Z94" s="6"/>
      <c r="AA94" s="135"/>
      <c r="AB94" s="135"/>
      <c r="AC94" s="101"/>
    </row>
    <row r="95" spans="6:29" ht="15" customHeight="1">
      <c r="F95" s="101"/>
      <c r="G95" s="101"/>
      <c r="H95" s="109"/>
      <c r="I95" s="112"/>
      <c r="J95" s="114"/>
      <c r="K95" s="110"/>
      <c r="L95" s="96"/>
      <c r="N95" s="129" t="s">
        <v>143</v>
      </c>
      <c r="P95" s="248">
        <f>-P66</f>
        <v>6402.0720000000001</v>
      </c>
      <c r="Q95" s="248">
        <f>P95-Q66</f>
        <v>13384.849168343559</v>
      </c>
      <c r="R95" s="248">
        <f t="shared" ref="R95:Y95" si="79">Q95-R66</f>
        <v>20846.834793482209</v>
      </c>
      <c r="S95" s="248">
        <f t="shared" si="79"/>
        <v>28815.242548490209</v>
      </c>
      <c r="T95" s="248">
        <f t="shared" si="79"/>
        <v>37097.14152409853</v>
      </c>
      <c r="U95" s="248">
        <f t="shared" si="79"/>
        <v>45704.914016443188</v>
      </c>
      <c r="V95" s="248">
        <f t="shared" si="79"/>
        <v>54651.43289292499</v>
      </c>
      <c r="W95" s="248">
        <f t="shared" si="79"/>
        <v>63950.081073442721</v>
      </c>
      <c r="X95" s="248">
        <f t="shared" si="79"/>
        <v>73614.771786627127</v>
      </c>
      <c r="Y95" s="248">
        <f t="shared" si="79"/>
        <v>83659.969631948246</v>
      </c>
      <c r="Z95" s="134"/>
      <c r="AA95" s="135"/>
      <c r="AB95" s="135"/>
      <c r="AC95" s="101"/>
    </row>
    <row r="96" spans="6:29" ht="15" customHeight="1">
      <c r="F96" s="101"/>
      <c r="G96" s="101"/>
      <c r="H96" s="109"/>
      <c r="I96" s="120"/>
      <c r="J96" s="114"/>
      <c r="K96" s="110"/>
      <c r="L96" s="96"/>
      <c r="N96" s="129" t="s">
        <v>144</v>
      </c>
      <c r="Z96" s="6"/>
      <c r="AA96" s="135"/>
      <c r="AB96" s="135"/>
      <c r="AC96" s="101"/>
    </row>
    <row r="97" spans="6:29" ht="15" customHeight="1">
      <c r="F97" s="101"/>
      <c r="G97" s="101"/>
      <c r="H97" s="109"/>
      <c r="I97" s="109"/>
      <c r="J97" s="114"/>
      <c r="K97" s="110"/>
      <c r="L97" s="96"/>
      <c r="Z97" s="6"/>
      <c r="AA97" s="135"/>
      <c r="AB97" s="135"/>
      <c r="AC97" s="101"/>
    </row>
    <row r="98" spans="6:29" ht="15" customHeight="1">
      <c r="F98" s="101"/>
      <c r="G98" s="101"/>
      <c r="H98" s="109"/>
      <c r="I98" s="109"/>
      <c r="J98" s="114"/>
      <c r="K98" s="117"/>
      <c r="L98" s="116"/>
      <c r="Z98" s="6"/>
      <c r="AA98" s="135"/>
      <c r="AB98" s="135"/>
      <c r="AC98" s="101"/>
    </row>
    <row r="99" spans="6:29" ht="15" customHeight="1">
      <c r="F99" s="101"/>
      <c r="G99" s="101"/>
      <c r="H99" s="109"/>
      <c r="I99" s="109"/>
      <c r="J99" s="109"/>
      <c r="K99" s="110"/>
      <c r="L99" s="96"/>
      <c r="Z99" s="6"/>
      <c r="AA99" s="135"/>
      <c r="AB99" s="135"/>
      <c r="AC99" s="101"/>
    </row>
    <row r="100" spans="6:29" ht="15" customHeight="1">
      <c r="F100" s="101"/>
      <c r="G100" s="101"/>
      <c r="H100" s="94"/>
      <c r="I100" s="109"/>
      <c r="J100" s="113"/>
      <c r="K100" s="121"/>
      <c r="L100" s="121"/>
      <c r="Z100" s="6"/>
      <c r="AA100" s="135"/>
      <c r="AB100" s="135"/>
      <c r="AC100" s="101"/>
    </row>
    <row r="101" spans="6:29" ht="15" customHeight="1">
      <c r="F101" s="101"/>
      <c r="G101" s="101"/>
      <c r="H101" s="122"/>
      <c r="I101" s="109"/>
      <c r="J101" s="109"/>
      <c r="K101" s="123"/>
      <c r="L101" s="124"/>
      <c r="Z101" s="6"/>
      <c r="AA101" s="135"/>
      <c r="AB101" s="135"/>
      <c r="AC101" s="101"/>
    </row>
    <row r="102" spans="6:29" ht="15" customHeight="1">
      <c r="F102" s="101"/>
      <c r="G102" s="101"/>
      <c r="H102" s="94"/>
      <c r="I102" s="94"/>
      <c r="J102" s="94"/>
      <c r="K102" s="94"/>
      <c r="L102" s="125"/>
      <c r="Z102" s="6"/>
      <c r="AA102" s="135"/>
      <c r="AB102" s="135"/>
      <c r="AC102" s="101"/>
    </row>
    <row r="103" spans="6:29" ht="15" customHeight="1">
      <c r="F103" s="101"/>
      <c r="G103" s="101"/>
      <c r="H103" s="94"/>
      <c r="I103" s="109"/>
      <c r="J103" s="109"/>
      <c r="K103" s="110"/>
      <c r="L103" s="96"/>
      <c r="Z103" s="6"/>
      <c r="AA103" s="135"/>
      <c r="AB103" s="135"/>
      <c r="AC103" s="101"/>
    </row>
    <row r="104" spans="6:29" ht="15" customHeight="1">
      <c r="F104" s="101"/>
      <c r="G104" s="101"/>
      <c r="H104" s="94"/>
      <c r="I104" s="94"/>
      <c r="J104" s="113"/>
      <c r="K104" s="110"/>
      <c r="L104" s="96"/>
      <c r="Z104" s="6"/>
      <c r="AA104" s="135"/>
      <c r="AB104" s="135"/>
      <c r="AC104" s="101"/>
    </row>
    <row r="105" spans="6:29" ht="15" customHeight="1">
      <c r="F105" s="101"/>
      <c r="G105" s="101"/>
      <c r="H105" s="109"/>
      <c r="I105" s="94"/>
      <c r="J105" s="94"/>
      <c r="K105" s="117"/>
      <c r="L105" s="116"/>
      <c r="Z105" s="6"/>
      <c r="AA105" s="135"/>
      <c r="AB105" s="135"/>
      <c r="AC105" s="101"/>
    </row>
    <row r="106" spans="6:29" ht="15" customHeight="1">
      <c r="F106" s="101"/>
      <c r="G106" s="101"/>
      <c r="H106" s="119"/>
      <c r="I106" s="119"/>
      <c r="J106" s="119"/>
      <c r="K106" s="123"/>
      <c r="L106" s="124"/>
      <c r="Z106" s="31"/>
      <c r="AA106" s="135"/>
      <c r="AB106" s="135"/>
      <c r="AC106" s="101"/>
    </row>
    <row r="107" spans="6:29" ht="15" customHeight="1">
      <c r="F107" s="101"/>
      <c r="G107" s="101"/>
      <c r="H107" s="109"/>
      <c r="I107" s="109"/>
      <c r="J107" s="109"/>
      <c r="K107" s="126"/>
      <c r="L107" s="109"/>
      <c r="Z107" s="6"/>
      <c r="AA107" s="135"/>
      <c r="AB107" s="135"/>
      <c r="AC107" s="101"/>
    </row>
    <row r="108" spans="6:29" ht="15" customHeight="1">
      <c r="F108" s="101"/>
      <c r="G108" s="101"/>
      <c r="H108" s="119"/>
      <c r="I108" s="94"/>
      <c r="J108" s="94"/>
      <c r="K108" s="127"/>
      <c r="L108" s="128"/>
      <c r="Z108" s="6"/>
      <c r="AA108" s="135"/>
      <c r="AB108" s="135"/>
      <c r="AC108" s="101"/>
    </row>
    <row r="109" spans="6:29" ht="15" customHeight="1">
      <c r="F109" s="101"/>
      <c r="G109" s="101"/>
      <c r="H109" s="101"/>
      <c r="I109" s="101"/>
      <c r="J109" s="101"/>
      <c r="K109" s="101"/>
      <c r="L109" s="101"/>
      <c r="Z109" s="6"/>
      <c r="AA109" s="135"/>
      <c r="AB109" s="135"/>
      <c r="AC109" s="101"/>
    </row>
    <row r="110" spans="6:29" ht="15" customHeight="1">
      <c r="Z110" s="6"/>
    </row>
    <row r="111" spans="6:29" ht="15" customHeight="1">
      <c r="Z111" s="28"/>
    </row>
    <row r="112" spans="6:29" ht="15" customHeight="1">
      <c r="Z112" s="6"/>
    </row>
  </sheetData>
  <dataConsolidate/>
  <conditionalFormatting sqref="F58:F59">
    <cfRule type="expression" dxfId="3" priority="1">
      <formula>AND(ISNUMBER($H$63),$H$63&gt;0)</formula>
    </cfRule>
  </conditionalFormatting>
  <conditionalFormatting sqref="F51:K61">
    <cfRule type="expression" dxfId="2" priority="7">
      <formula>AND(ISNUMBER($H$63),$H$63&gt;0)</formula>
    </cfRule>
  </conditionalFormatting>
  <conditionalFormatting sqref="H58:K59">
    <cfRule type="expression" dxfId="1" priority="2">
      <formula>AND(ISNUMBER($H$63),$H$63&gt;0)</formula>
    </cfRule>
  </conditionalFormatting>
  <conditionalFormatting sqref="H89:L98">
    <cfRule type="expression" dxfId="0" priority="9">
      <formula>AND(ISNUMBER($J$100),$J$100&gt;0)</formula>
    </cfRule>
  </conditionalFormatting>
  <dataValidations disablePrompts="1" count="1">
    <dataValidation type="list" allowBlank="1" showInputMessage="1" showErrorMessage="1" sqref="C53" xr:uid="{9152CB88-92B2-4565-B031-61D3B3670CC6}">
      <formula1>"Catch-Up, No Catch-Up"</formula1>
    </dataValidation>
  </dataValidations>
  <hyperlinks>
    <hyperlink ref="D69" r:id="rId1" xr:uid="{68A63855-A8AE-D345-A32C-4B2171DEF9B7}"/>
  </hyperlinks>
  <pageMargins left="0.7" right="0.7" top="0.75" bottom="0.75" header="0.3" footer="0.3"/>
  <pageSetup fitToWidth="0" fitToHeight="0" orientation="portrait" r:id="rId2"/>
  <headerFooter>
    <oddFooter>&amp;L&amp;G&amp;Cwww.bullpenanalysisservices.com&amp;R&amp;P of &amp;N</oddFooter>
  </headerFooter>
  <drawing r:id="rId3"/>
  <legacyDrawing r:id="rId4"/>
  <legacyDrawingHF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Instructions</vt:lpstr>
      <vt:lpstr>MF Quick Calc</vt:lpstr>
      <vt:lpstr>Instructions!Print_Area</vt:lpstr>
      <vt:lpstr>'MF Quick Calc'!Print_Area</vt:lpstr>
    </vt:vector>
  </TitlesOfParts>
  <Company>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Kastelberg</dc:creator>
  <cp:lastModifiedBy>Michael Fernandes</cp:lastModifiedBy>
  <cp:lastPrinted>2018-12-20T00:00:11Z</cp:lastPrinted>
  <dcterms:created xsi:type="dcterms:W3CDTF">2015-05-07T03:27:56Z</dcterms:created>
  <dcterms:modified xsi:type="dcterms:W3CDTF">2025-09-09T19:48:10Z</dcterms:modified>
</cp:coreProperties>
</file>